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 tabRatio="747"/>
  </bookViews>
  <sheets>
    <sheet name="верній " sheetId="16" r:id="rId1"/>
  </sheets>
  <definedNames>
    <definedName name="_xlnm.Print_Area" localSheetId="0">'верній '!$A$1:$BB$78</definedName>
  </definedNames>
  <calcPr calcId="152511" fullPrecision="0"/>
</workbook>
</file>

<file path=xl/calcChain.xml><?xml version="1.0" encoding="utf-8"?>
<calcChain xmlns="http://schemas.openxmlformats.org/spreadsheetml/2006/main">
  <c r="H22" i="16" l="1"/>
  <c r="Z14" i="16"/>
  <c r="I14" i="16" s="1"/>
  <c r="Z13" i="16"/>
  <c r="H70" i="16"/>
  <c r="J69" i="16"/>
  <c r="J68" i="16"/>
  <c r="J53" i="16"/>
  <c r="J14" i="16" l="1"/>
  <c r="K14" i="16"/>
  <c r="L14" i="16" s="1"/>
  <c r="AK9" i="16"/>
  <c r="Z10" i="16"/>
  <c r="AE78" i="16"/>
  <c r="T29" i="16"/>
  <c r="AB29" i="16"/>
  <c r="T46" i="16"/>
  <c r="T47" i="16"/>
  <c r="T39" i="16"/>
  <c r="T38" i="16"/>
  <c r="S74" i="16" l="1"/>
  <c r="S70" i="16"/>
  <c r="S17" i="16"/>
  <c r="S22" i="16"/>
  <c r="S35" i="16"/>
  <c r="T40" i="16"/>
  <c r="S40" i="16"/>
  <c r="S62" i="16"/>
  <c r="T67" i="16"/>
  <c r="T66" i="16"/>
  <c r="U66" i="16" s="1"/>
  <c r="T65" i="16"/>
  <c r="T73" i="16"/>
  <c r="T74" i="16" s="1"/>
  <c r="U67" i="16"/>
  <c r="T58" i="16"/>
  <c r="T57" i="16"/>
  <c r="T56" i="16"/>
  <c r="T53" i="16"/>
  <c r="T52" i="16"/>
  <c r="AK59" i="16"/>
  <c r="AK50" i="16"/>
  <c r="AK49" i="16"/>
  <c r="AK48" i="16"/>
  <c r="AK61" i="16"/>
  <c r="U61" i="16"/>
  <c r="U59" i="16"/>
  <c r="U58" i="16"/>
  <c r="U57" i="16"/>
  <c r="U56" i="16"/>
  <c r="U53" i="16"/>
  <c r="U52" i="16"/>
  <c r="U50" i="16"/>
  <c r="U49" i="16"/>
  <c r="U48" i="16"/>
  <c r="U47" i="16"/>
  <c r="U46" i="16"/>
  <c r="T60" i="16"/>
  <c r="U60" i="16" s="1"/>
  <c r="T55" i="16"/>
  <c r="U55" i="16" s="1"/>
  <c r="T54" i="16"/>
  <c r="U54" i="16" s="1"/>
  <c r="T51" i="16"/>
  <c r="U51" i="16" s="1"/>
  <c r="T45" i="16"/>
  <c r="U45" i="16" s="1"/>
  <c r="T44" i="16"/>
  <c r="U44" i="16" s="1"/>
  <c r="T43" i="16"/>
  <c r="U43" i="16" s="1"/>
  <c r="T42" i="16"/>
  <c r="U42" i="16" s="1"/>
  <c r="U39" i="16"/>
  <c r="U38" i="16"/>
  <c r="U29" i="16"/>
  <c r="T34" i="16"/>
  <c r="U34" i="16" s="1"/>
  <c r="T31" i="16"/>
  <c r="U31" i="16" s="1"/>
  <c r="T30" i="16"/>
  <c r="U30" i="16" s="1"/>
  <c r="T28" i="16"/>
  <c r="U28" i="16" s="1"/>
  <c r="T26" i="16"/>
  <c r="AK15" i="16"/>
  <c r="AI10" i="16"/>
  <c r="AJ10" i="16" s="1"/>
  <c r="AK10" i="16" s="1"/>
  <c r="I10" i="16"/>
  <c r="AA10" i="16"/>
  <c r="T70" i="16" l="1"/>
  <c r="U73" i="16"/>
  <c r="U74" i="16" s="1"/>
  <c r="S36" i="16"/>
  <c r="U65" i="16"/>
  <c r="U70" i="16" s="1"/>
  <c r="S76" i="16"/>
  <c r="T62" i="16"/>
  <c r="U62" i="16"/>
  <c r="S63" i="16"/>
  <c r="S75" i="16" s="1"/>
  <c r="U40" i="16"/>
  <c r="T63" i="16"/>
  <c r="T75" i="16" l="1"/>
  <c r="U63" i="16"/>
  <c r="U75" i="16" s="1"/>
  <c r="Z73" i="16" l="1"/>
  <c r="AA73" i="16" s="1"/>
  <c r="G73" i="16" s="1"/>
  <c r="Z67" i="16"/>
  <c r="Z66" i="16"/>
  <c r="AA66" i="16" s="1"/>
  <c r="G66" i="16" s="1"/>
  <c r="Z65" i="16"/>
  <c r="Z61" i="16"/>
  <c r="I61" i="16" s="1"/>
  <c r="J61" i="16" s="1"/>
  <c r="Z60" i="16"/>
  <c r="Z59" i="16"/>
  <c r="I59" i="16" s="1"/>
  <c r="Z58" i="16"/>
  <c r="Z57" i="16"/>
  <c r="AA57" i="16" s="1"/>
  <c r="G57" i="16" s="1"/>
  <c r="Z56" i="16"/>
  <c r="Z55" i="16"/>
  <c r="AA55" i="16" s="1"/>
  <c r="G55" i="16" s="1"/>
  <c r="Z54" i="16"/>
  <c r="Z53" i="16"/>
  <c r="AA53" i="16" s="1"/>
  <c r="Z52" i="16"/>
  <c r="Z51" i="16"/>
  <c r="AA51" i="16" s="1"/>
  <c r="G51" i="16" s="1"/>
  <c r="Z50" i="16"/>
  <c r="I50" i="16" s="1"/>
  <c r="Z49" i="16"/>
  <c r="I49" i="16" s="1"/>
  <c r="Z48" i="16"/>
  <c r="I48" i="16" s="1"/>
  <c r="Z47" i="16"/>
  <c r="AA47" i="16" s="1"/>
  <c r="G47" i="16" s="1"/>
  <c r="Z46" i="16"/>
  <c r="Z45" i="16"/>
  <c r="AA45" i="16" s="1"/>
  <c r="G45" i="16" s="1"/>
  <c r="Z44" i="16"/>
  <c r="Z43" i="16"/>
  <c r="AA43" i="16" s="1"/>
  <c r="G43" i="16" s="1"/>
  <c r="Z42" i="16"/>
  <c r="AA42" i="16" s="1"/>
  <c r="G42" i="16" s="1"/>
  <c r="Z39" i="16"/>
  <c r="Z38" i="16"/>
  <c r="Z34" i="16"/>
  <c r="Z28" i="16"/>
  <c r="Z31" i="16"/>
  <c r="Z30" i="16"/>
  <c r="Z29" i="16"/>
  <c r="Z26" i="16"/>
  <c r="Z24" i="16"/>
  <c r="Z21" i="16"/>
  <c r="Z20" i="16"/>
  <c r="Z16" i="16"/>
  <c r="Z15" i="16"/>
  <c r="Z12" i="16"/>
  <c r="Z11" i="16"/>
  <c r="U26" i="16"/>
  <c r="T24" i="16"/>
  <c r="T21" i="16"/>
  <c r="U21" i="16" s="1"/>
  <c r="T20" i="16"/>
  <c r="U20" i="16" s="1"/>
  <c r="T16" i="16"/>
  <c r="U16" i="16" s="1"/>
  <c r="T11" i="16"/>
  <c r="U11" i="16" s="1"/>
  <c r="T12" i="16"/>
  <c r="U12" i="16" s="1"/>
  <c r="T13" i="16"/>
  <c r="U13" i="16" s="1"/>
  <c r="T10" i="16"/>
  <c r="T15" i="16"/>
  <c r="U15" i="16" s="1"/>
  <c r="AL15" i="16" s="1"/>
  <c r="U9" i="16"/>
  <c r="H74" i="16"/>
  <c r="M82" i="16" s="1"/>
  <c r="AP73" i="16"/>
  <c r="Q73" i="16"/>
  <c r="L73" i="16"/>
  <c r="K72" i="16"/>
  <c r="Q72" i="16" s="1"/>
  <c r="M70" i="16"/>
  <c r="M62" i="16"/>
  <c r="H62" i="16"/>
  <c r="K61" i="16"/>
  <c r="L61" i="16" s="1"/>
  <c r="M40" i="16"/>
  <c r="M63" i="16" s="1"/>
  <c r="H40" i="16"/>
  <c r="H63" i="16" s="1"/>
  <c r="AP39" i="16"/>
  <c r="AQ38" i="16"/>
  <c r="AU38" i="16" s="1"/>
  <c r="AP38" i="16"/>
  <c r="M35" i="16"/>
  <c r="H35" i="16"/>
  <c r="AP34" i="16"/>
  <c r="AP30" i="16"/>
  <c r="AP29" i="16"/>
  <c r="AP28" i="16"/>
  <c r="AP26" i="16"/>
  <c r="AP24" i="16"/>
  <c r="M22" i="16"/>
  <c r="AP21" i="16"/>
  <c r="AP20" i="16"/>
  <c r="M17" i="16"/>
  <c r="H17" i="16"/>
  <c r="H36" i="16" s="1"/>
  <c r="H76" i="16" s="1"/>
  <c r="AP16" i="16"/>
  <c r="AP15" i="16"/>
  <c r="AP13" i="16"/>
  <c r="AP12" i="16"/>
  <c r="AP11" i="16"/>
  <c r="AP10" i="16"/>
  <c r="K10" i="16"/>
  <c r="Q10" i="16" s="1"/>
  <c r="J10" i="16"/>
  <c r="AP9" i="16"/>
  <c r="M36" i="16" l="1"/>
  <c r="AR38" i="16"/>
  <c r="T17" i="16"/>
  <c r="U24" i="16"/>
  <c r="U35" i="16" s="1"/>
  <c r="T35" i="16"/>
  <c r="AI11" i="16"/>
  <c r="AJ11" i="16" s="1"/>
  <c r="AK11" i="16" s="1"/>
  <c r="AL11" i="16" s="1"/>
  <c r="AA11" i="16"/>
  <c r="I11" i="16"/>
  <c r="AI13" i="16"/>
  <c r="AJ13" i="16" s="1"/>
  <c r="AK13" i="16" s="1"/>
  <c r="AL13" i="16" s="1"/>
  <c r="I13" i="16"/>
  <c r="AA13" i="16"/>
  <c r="AI16" i="16"/>
  <c r="AJ16" i="16" s="1"/>
  <c r="AK16" i="16" s="1"/>
  <c r="AL16" i="16" s="1"/>
  <c r="I16" i="16"/>
  <c r="AA16" i="16"/>
  <c r="I21" i="16"/>
  <c r="AI21" i="16"/>
  <c r="AJ21" i="16" s="1"/>
  <c r="AK21" i="16" s="1"/>
  <c r="AL21" i="16" s="1"/>
  <c r="AA21" i="16"/>
  <c r="I26" i="16"/>
  <c r="AA26" i="16"/>
  <c r="AI26" i="16"/>
  <c r="AJ26" i="16" s="1"/>
  <c r="AK26" i="16" s="1"/>
  <c r="AL26" i="16" s="1"/>
  <c r="AA30" i="16"/>
  <c r="I30" i="16"/>
  <c r="J30" i="16" s="1"/>
  <c r="AI30" i="16"/>
  <c r="AJ30" i="16" s="1"/>
  <c r="AK30" i="16" s="1"/>
  <c r="AL30" i="16" s="1"/>
  <c r="I28" i="16"/>
  <c r="AI28" i="16"/>
  <c r="AJ28" i="16" s="1"/>
  <c r="AK28" i="16" s="1"/>
  <c r="AL28" i="16" s="1"/>
  <c r="AA28" i="16"/>
  <c r="I34" i="16"/>
  <c r="AI34" i="16"/>
  <c r="AJ34" i="16" s="1"/>
  <c r="AK34" i="16" s="1"/>
  <c r="AL34" i="16" s="1"/>
  <c r="AA34" i="16"/>
  <c r="I39" i="16"/>
  <c r="J39" i="16" s="1"/>
  <c r="AI39" i="16"/>
  <c r="AJ39" i="16" s="1"/>
  <c r="AK39" i="16" s="1"/>
  <c r="AL39" i="16" s="1"/>
  <c r="AA39" i="16"/>
  <c r="AI44" i="16"/>
  <c r="AJ44" i="16" s="1"/>
  <c r="AK44" i="16" s="1"/>
  <c r="AL44" i="16" s="1"/>
  <c r="I44" i="16"/>
  <c r="AI46" i="16"/>
  <c r="AJ46" i="16" s="1"/>
  <c r="AK46" i="16" s="1"/>
  <c r="AL46" i="16" s="1"/>
  <c r="I46" i="16"/>
  <c r="I52" i="16"/>
  <c r="AD52" i="16"/>
  <c r="AI52" i="16"/>
  <c r="I54" i="16"/>
  <c r="AI54" i="16"/>
  <c r="AJ54" i="16" s="1"/>
  <c r="AK54" i="16" s="1"/>
  <c r="AL54" i="16" s="1"/>
  <c r="AD56" i="16"/>
  <c r="AJ56" i="16" s="1"/>
  <c r="AK56" i="16" s="1"/>
  <c r="AL56" i="16" s="1"/>
  <c r="I56" i="16"/>
  <c r="J56" i="16" s="1"/>
  <c r="AI56" i="16"/>
  <c r="I58" i="16"/>
  <c r="AD58" i="16"/>
  <c r="AI58" i="16"/>
  <c r="AI60" i="16"/>
  <c r="AJ60" i="16" s="1"/>
  <c r="AK60" i="16" s="1"/>
  <c r="AL60" i="16" s="1"/>
  <c r="I60" i="16"/>
  <c r="AH58" i="16"/>
  <c r="AH56" i="16"/>
  <c r="I65" i="16"/>
  <c r="J65" i="16" s="1"/>
  <c r="AF65" i="16"/>
  <c r="AI65" i="16"/>
  <c r="I67" i="16"/>
  <c r="K67" i="16" s="1"/>
  <c r="AD67" i="16"/>
  <c r="AI67" i="16"/>
  <c r="M83" i="16"/>
  <c r="T22" i="16"/>
  <c r="AA49" i="16"/>
  <c r="G49" i="16" s="1"/>
  <c r="AA59" i="16"/>
  <c r="G59" i="16" s="1"/>
  <c r="AA61" i="16"/>
  <c r="T76" i="16"/>
  <c r="T36" i="16"/>
  <c r="AI12" i="16"/>
  <c r="AJ12" i="16" s="1"/>
  <c r="AK12" i="16" s="1"/>
  <c r="AL12" i="16" s="1"/>
  <c r="I12" i="16"/>
  <c r="AA12" i="16"/>
  <c r="I15" i="16"/>
  <c r="AA15" i="16"/>
  <c r="Z22" i="16"/>
  <c r="I20" i="16"/>
  <c r="AI20" i="16"/>
  <c r="AA20" i="16"/>
  <c r="Z35" i="16"/>
  <c r="I24" i="16"/>
  <c r="AI24" i="16"/>
  <c r="AA24" i="16"/>
  <c r="I29" i="16"/>
  <c r="AE29" i="16"/>
  <c r="AE35" i="16" s="1"/>
  <c r="AE36" i="16" s="1"/>
  <c r="AA29" i="16"/>
  <c r="AI29" i="16"/>
  <c r="AJ29" i="16" s="1"/>
  <c r="AK29" i="16" s="1"/>
  <c r="AL29" i="16" s="1"/>
  <c r="I31" i="16"/>
  <c r="AI31" i="16"/>
  <c r="AC31" i="16"/>
  <c r="AC35" i="16" s="1"/>
  <c r="AC36" i="16" s="1"/>
  <c r="AA31" i="16"/>
  <c r="G31" i="16" s="1"/>
  <c r="Z40" i="16"/>
  <c r="I38" i="16"/>
  <c r="J38" i="16" s="1"/>
  <c r="AA38" i="16"/>
  <c r="AI38" i="16"/>
  <c r="I42" i="16"/>
  <c r="AI42" i="16"/>
  <c r="I43" i="16"/>
  <c r="AI43" i="16"/>
  <c r="AJ43" i="16" s="1"/>
  <c r="AK43" i="16" s="1"/>
  <c r="AL43" i="16" s="1"/>
  <c r="I45" i="16"/>
  <c r="AI45" i="16"/>
  <c r="AJ45" i="16" s="1"/>
  <c r="AK45" i="16" s="1"/>
  <c r="AL45" i="16" s="1"/>
  <c r="AI47" i="16"/>
  <c r="AJ47" i="16" s="1"/>
  <c r="AK47" i="16" s="1"/>
  <c r="AL47" i="16" s="1"/>
  <c r="I47" i="16"/>
  <c r="I51" i="16"/>
  <c r="J51" i="16" s="1"/>
  <c r="AI51" i="16"/>
  <c r="AJ51" i="16" s="1"/>
  <c r="AK51" i="16" s="1"/>
  <c r="AL51" i="16" s="1"/>
  <c r="I53" i="16"/>
  <c r="AD53" i="16"/>
  <c r="AI53" i="16"/>
  <c r="AJ53" i="16" s="1"/>
  <c r="AK53" i="16" s="1"/>
  <c r="AL53" i="16" s="1"/>
  <c r="I55" i="16"/>
  <c r="AI55" i="16"/>
  <c r="AJ55" i="16" s="1"/>
  <c r="AK55" i="16" s="1"/>
  <c r="AL55" i="16" s="1"/>
  <c r="I57" i="16"/>
  <c r="AD57" i="16"/>
  <c r="AI57" i="16"/>
  <c r="AI66" i="16"/>
  <c r="I66" i="16"/>
  <c r="AF66" i="16"/>
  <c r="I73" i="16"/>
  <c r="J73" i="16" s="1"/>
  <c r="J74" i="16" s="1"/>
  <c r="AI73" i="16"/>
  <c r="U10" i="16"/>
  <c r="AL10" i="16" s="1"/>
  <c r="U22" i="16"/>
  <c r="AQ37" i="16"/>
  <c r="AV37" i="16" s="1"/>
  <c r="AA44" i="16"/>
  <c r="G44" i="16" s="1"/>
  <c r="AA46" i="16"/>
  <c r="G46" i="16" s="1"/>
  <c r="AA48" i="16"/>
  <c r="G48" i="16" s="1"/>
  <c r="AA50" i="16"/>
  <c r="G50" i="16" s="1"/>
  <c r="AA52" i="16"/>
  <c r="G52" i="16" s="1"/>
  <c r="AA54" i="16"/>
  <c r="G54" i="16" s="1"/>
  <c r="AA56" i="16"/>
  <c r="G56" i="16" s="1"/>
  <c r="AA58" i="16"/>
  <c r="G58" i="16" s="1"/>
  <c r="AA60" i="16"/>
  <c r="AA65" i="16"/>
  <c r="G65" i="16" s="1"/>
  <c r="AA67" i="16"/>
  <c r="G67" i="16" s="1"/>
  <c r="Z17" i="16"/>
  <c r="AI9" i="16"/>
  <c r="L10" i="16"/>
  <c r="AV38" i="16"/>
  <c r="M81" i="16"/>
  <c r="Q74" i="16"/>
  <c r="M76" i="16"/>
  <c r="AT38" i="16"/>
  <c r="J67" i="16"/>
  <c r="M84" i="16"/>
  <c r="K59" i="16"/>
  <c r="L59" i="16" s="1"/>
  <c r="J59" i="16"/>
  <c r="H75" i="16"/>
  <c r="M78" i="16"/>
  <c r="L67" i="16"/>
  <c r="P67" i="16" s="1"/>
  <c r="Q67" i="16" s="1"/>
  <c r="AS37" i="16"/>
  <c r="AU37" i="16"/>
  <c r="AR37" i="16"/>
  <c r="AT37" i="16"/>
  <c r="AS38" i="16"/>
  <c r="L72" i="16"/>
  <c r="L74" i="16" s="1"/>
  <c r="J70" i="16" l="1"/>
  <c r="K51" i="16"/>
  <c r="Z36" i="16"/>
  <c r="AJ52" i="16"/>
  <c r="AK52" i="16" s="1"/>
  <c r="AL52" i="16" s="1"/>
  <c r="AI62" i="16"/>
  <c r="AJ42" i="16"/>
  <c r="AJ38" i="16"/>
  <c r="AI40" i="16"/>
  <c r="K38" i="16"/>
  <c r="J24" i="16"/>
  <c r="K24" i="16"/>
  <c r="K20" i="16"/>
  <c r="J20" i="16"/>
  <c r="K60" i="16"/>
  <c r="J60" i="16"/>
  <c r="K54" i="16"/>
  <c r="L54" i="16" s="1"/>
  <c r="P54" i="16" s="1"/>
  <c r="Q54" i="16" s="1"/>
  <c r="J54" i="16"/>
  <c r="K39" i="16"/>
  <c r="J28" i="16"/>
  <c r="K28" i="16"/>
  <c r="K30" i="16"/>
  <c r="K26" i="16"/>
  <c r="J26" i="16"/>
  <c r="K13" i="16"/>
  <c r="J13" i="16"/>
  <c r="K11" i="16"/>
  <c r="J11" i="16"/>
  <c r="J17" i="16" s="1"/>
  <c r="U17" i="16"/>
  <c r="AJ57" i="16"/>
  <c r="AK57" i="16" s="1"/>
  <c r="AL57" i="16" s="1"/>
  <c r="AJ31" i="16"/>
  <c r="AK31" i="16" s="1"/>
  <c r="AL31" i="16" s="1"/>
  <c r="AJ67" i="16"/>
  <c r="AK67" i="16" s="1"/>
  <c r="AL67" i="16" s="1"/>
  <c r="AH62" i="16"/>
  <c r="AJ58" i="16"/>
  <c r="AK58" i="16" s="1"/>
  <c r="AL58" i="16" s="1"/>
  <c r="AD62" i="16"/>
  <c r="AI74" i="16"/>
  <c r="AJ73" i="16"/>
  <c r="K29" i="16"/>
  <c r="L29" i="16" s="1"/>
  <c r="N29" i="16" s="1"/>
  <c r="Q29" i="16" s="1"/>
  <c r="J29" i="16"/>
  <c r="AJ24" i="16"/>
  <c r="AI35" i="16"/>
  <c r="AI22" i="16"/>
  <c r="AJ20" i="16"/>
  <c r="J15" i="16"/>
  <c r="K15" i="16"/>
  <c r="L15" i="16" s="1"/>
  <c r="J12" i="16"/>
  <c r="K12" i="16"/>
  <c r="AI70" i="16"/>
  <c r="AJ65" i="16"/>
  <c r="J34" i="16"/>
  <c r="L34" i="16" s="1"/>
  <c r="K34" i="16"/>
  <c r="Q34" i="16" s="1"/>
  <c r="J21" i="16"/>
  <c r="K21" i="16"/>
  <c r="J16" i="16"/>
  <c r="K16" i="16"/>
  <c r="AJ66" i="16"/>
  <c r="AK66" i="16" s="1"/>
  <c r="AL66" i="16" s="1"/>
  <c r="K9" i="16"/>
  <c r="AI17" i="16"/>
  <c r="K49" i="16"/>
  <c r="L49" i="16" s="1"/>
  <c r="J49" i="16"/>
  <c r="J52" i="16"/>
  <c r="K52" i="16"/>
  <c r="J43" i="16"/>
  <c r="K43" i="16"/>
  <c r="K48" i="16"/>
  <c r="J48" i="16"/>
  <c r="K53" i="16"/>
  <c r="P53" i="16"/>
  <c r="J66" i="16"/>
  <c r="K66" i="16"/>
  <c r="J55" i="16"/>
  <c r="K55" i="16"/>
  <c r="J46" i="16"/>
  <c r="K46" i="16"/>
  <c r="L46" i="16" s="1"/>
  <c r="J42" i="16"/>
  <c r="K42" i="16"/>
  <c r="L51" i="16"/>
  <c r="Q51" i="16"/>
  <c r="J58" i="16"/>
  <c r="K58" i="16"/>
  <c r="J44" i="16"/>
  <c r="K44" i="16"/>
  <c r="J50" i="16"/>
  <c r="K50" i="16"/>
  <c r="L50" i="16" s="1"/>
  <c r="K31" i="16"/>
  <c r="J31" i="16"/>
  <c r="K65" i="16"/>
  <c r="K47" i="16"/>
  <c r="J47" i="16"/>
  <c r="J45" i="16"/>
  <c r="K45" i="16"/>
  <c r="K56" i="16"/>
  <c r="K57" i="16"/>
  <c r="J57" i="16"/>
  <c r="J62" i="16" l="1"/>
  <c r="J22" i="16"/>
  <c r="J35" i="16"/>
  <c r="Q16" i="16"/>
  <c r="L16" i="16"/>
  <c r="L21" i="16"/>
  <c r="Q21" i="16"/>
  <c r="AK65" i="16"/>
  <c r="AJ70" i="16"/>
  <c r="Q12" i="16"/>
  <c r="L12" i="16"/>
  <c r="AJ22" i="16"/>
  <c r="AK20" i="16"/>
  <c r="AJ74" i="16"/>
  <c r="AK73" i="16"/>
  <c r="U36" i="16"/>
  <c r="U76" i="16"/>
  <c r="L11" i="16"/>
  <c r="Q11" i="16"/>
  <c r="L13" i="16"/>
  <c r="Q13" i="16"/>
  <c r="L26" i="16"/>
  <c r="Q26" i="16"/>
  <c r="L60" i="16"/>
  <c r="Q60" i="16"/>
  <c r="Q20" i="16"/>
  <c r="L20" i="16"/>
  <c r="AK38" i="16"/>
  <c r="AJ40" i="16"/>
  <c r="J40" i="16"/>
  <c r="J63" i="16" s="1"/>
  <c r="AI63" i="16"/>
  <c r="AI75" i="16" s="1"/>
  <c r="AJ35" i="16"/>
  <c r="AK24" i="16"/>
  <c r="L30" i="16"/>
  <c r="Q30" i="16"/>
  <c r="Q28" i="16"/>
  <c r="L28" i="16"/>
  <c r="L39" i="16"/>
  <c r="Q39" i="16"/>
  <c r="Q24" i="16"/>
  <c r="L24" i="16"/>
  <c r="Q38" i="16"/>
  <c r="L38" i="16"/>
  <c r="AJ62" i="16"/>
  <c r="AK42" i="16"/>
  <c r="AJ17" i="16"/>
  <c r="L9" i="16"/>
  <c r="Q9" i="16"/>
  <c r="Q17" i="16" s="1"/>
  <c r="AI36" i="16"/>
  <c r="AI76" i="16"/>
  <c r="L57" i="16"/>
  <c r="P57" i="16" s="1"/>
  <c r="Q57" i="16" s="1"/>
  <c r="Q47" i="16"/>
  <c r="L47" i="16"/>
  <c r="L44" i="16"/>
  <c r="Q44" i="16"/>
  <c r="L58" i="16"/>
  <c r="P58" i="16"/>
  <c r="Q53" i="16"/>
  <c r="L53" i="16"/>
  <c r="Q48" i="16"/>
  <c r="L48" i="16"/>
  <c r="L56" i="16"/>
  <c r="P56" i="16"/>
  <c r="Q56" i="16" s="1"/>
  <c r="L45" i="16"/>
  <c r="Q45" i="16"/>
  <c r="L65" i="16"/>
  <c r="L31" i="16"/>
  <c r="K35" i="16"/>
  <c r="K36" i="16" s="1"/>
  <c r="L42" i="16"/>
  <c r="Q42" i="16"/>
  <c r="L55" i="16"/>
  <c r="Q55" i="16"/>
  <c r="L66" i="16"/>
  <c r="P66" i="16" s="1"/>
  <c r="Q66" i="16" s="1"/>
  <c r="L43" i="16"/>
  <c r="Q43" i="16"/>
  <c r="L52" i="16"/>
  <c r="J76" i="16" l="1"/>
  <c r="J36" i="16"/>
  <c r="J75" i="16"/>
  <c r="L17" i="16"/>
  <c r="L40" i="16"/>
  <c r="Q40" i="16"/>
  <c r="L22" i="16"/>
  <c r="AL38" i="16"/>
  <c r="AK40" i="16"/>
  <c r="AK70" i="16"/>
  <c r="AL65" i="16"/>
  <c r="AJ63" i="16"/>
  <c r="AJ75" i="16" s="1"/>
  <c r="AL42" i="16"/>
  <c r="AK62" i="16"/>
  <c r="AL24" i="16"/>
  <c r="AK35" i="16"/>
  <c r="AK74" i="16"/>
  <c r="AL73" i="16"/>
  <c r="AK22" i="16"/>
  <c r="AL20" i="16"/>
  <c r="Q22" i="16"/>
  <c r="AL9" i="16"/>
  <c r="AK17" i="16"/>
  <c r="AJ36" i="16"/>
  <c r="AJ76" i="16"/>
  <c r="AJ77" i="16" s="1"/>
  <c r="P52" i="16"/>
  <c r="Q52" i="16" s="1"/>
  <c r="Q62" i="16" s="1"/>
  <c r="Q63" i="16" s="1"/>
  <c r="Q58" i="16"/>
  <c r="N31" i="16"/>
  <c r="Q31" i="16" s="1"/>
  <c r="L35" i="16"/>
  <c r="L70" i="16"/>
  <c r="P65" i="16"/>
  <c r="Q65" i="16" s="1"/>
  <c r="Q70" i="16" s="1"/>
  <c r="L62" i="16"/>
  <c r="L63" i="16" s="1"/>
  <c r="L76" i="16" l="1"/>
  <c r="L36" i="16"/>
  <c r="AG78" i="16"/>
  <c r="AK63" i="16"/>
  <c r="AK75" i="16" s="1"/>
  <c r="AJ78" i="16"/>
  <c r="AL78" i="16" s="1"/>
  <c r="AG77" i="16"/>
  <c r="AK76" i="16"/>
  <c r="AK36" i="16"/>
  <c r="Q35" i="16"/>
  <c r="Q36" i="16"/>
  <c r="Q76" i="16" s="1"/>
</calcChain>
</file>

<file path=xl/sharedStrings.xml><?xml version="1.0" encoding="utf-8"?>
<sst xmlns="http://schemas.openxmlformats.org/spreadsheetml/2006/main" count="218" uniqueCount="159">
  <si>
    <t>Розряд</t>
  </si>
  <si>
    <t>ІV</t>
  </si>
  <si>
    <t>V</t>
  </si>
  <si>
    <t>ІІ</t>
  </si>
  <si>
    <t>IV</t>
  </si>
  <si>
    <t>Всього:</t>
  </si>
  <si>
    <t>ІІІ</t>
  </si>
  <si>
    <t>Водії:</t>
  </si>
  <si>
    <t>РАЗОМ:</t>
  </si>
  <si>
    <t>VІ</t>
  </si>
  <si>
    <t>III</t>
  </si>
  <si>
    <t>Двірник</t>
  </si>
  <si>
    <t>САНОЧИСТКА</t>
  </si>
  <si>
    <t>ВСЬОГО:</t>
  </si>
  <si>
    <t>Посадовий оклад</t>
  </si>
  <si>
    <t>Директор</t>
  </si>
  <si>
    <t>Інспектор з кадрів</t>
  </si>
  <si>
    <t>Головний бухгалтер</t>
  </si>
  <si>
    <t>ЗЕЛЕНЕ ГОСПОДАРСТВО</t>
  </si>
  <si>
    <t>І</t>
  </si>
  <si>
    <t>грн.</t>
  </si>
  <si>
    <t>VI</t>
  </si>
  <si>
    <t>№ п/п</t>
  </si>
  <si>
    <t>Посада</t>
  </si>
  <si>
    <t>Код згідно ДК</t>
  </si>
  <si>
    <t>Робітник з благоустрою</t>
  </si>
  <si>
    <t>Оператор очисного устаткування</t>
  </si>
  <si>
    <t>Майстер зеленого господарства</t>
  </si>
  <si>
    <t>1221.2</t>
  </si>
  <si>
    <t>Бухгалтер</t>
  </si>
  <si>
    <t>Інженер ІІ кат.</t>
  </si>
  <si>
    <t>2149.2</t>
  </si>
  <si>
    <t>2441.2</t>
  </si>
  <si>
    <t>Сестра медична</t>
  </si>
  <si>
    <t>Відділ "Саночистка"</t>
  </si>
  <si>
    <t>Зелене господарство</t>
  </si>
  <si>
    <t>Електрогазозварник</t>
  </si>
  <si>
    <t>Тарифна ставка</t>
  </si>
  <si>
    <t>Механік</t>
  </si>
  <si>
    <t>КП "Овруч" Овруцької міської ради Житомирської області</t>
  </si>
  <si>
    <t>контракт</t>
  </si>
  <si>
    <t>Головний інженер</t>
  </si>
  <si>
    <t>Начальник відділу "Саночистка"</t>
  </si>
  <si>
    <t>Місячний фонд зарплати</t>
  </si>
  <si>
    <t>фронтальний навантажувач "JCB 225"</t>
  </si>
  <si>
    <t>Кількість</t>
  </si>
  <si>
    <t>Устаткування за посадою</t>
  </si>
  <si>
    <t>трактор Т-170</t>
  </si>
  <si>
    <t>трактор Т-40М</t>
  </si>
  <si>
    <t>трактор МТЗ "Беларус-320"</t>
  </si>
  <si>
    <t>автомобіль САЗ-3507</t>
  </si>
  <si>
    <t>автомобіль ГАЗ-53</t>
  </si>
  <si>
    <t>автомобіль ГАЗ-53М</t>
  </si>
  <si>
    <t>автомобіль МАЗ-5551</t>
  </si>
  <si>
    <t>автомобіль ГАЗ-5201 ТВГ-15-Н</t>
  </si>
  <si>
    <t>автомобіль КО-431, КО-425</t>
  </si>
  <si>
    <t>автомобіль ГАЗ-3307 КО-503</t>
  </si>
  <si>
    <t>Місячний фонд зарплати загальний</t>
  </si>
  <si>
    <t>Місячний фонд зарплати реальний</t>
  </si>
  <si>
    <t>Вакансій "Саночистка":</t>
  </si>
  <si>
    <t>Вакансій ВООС:</t>
  </si>
  <si>
    <t>Вакансій ЗГ:</t>
  </si>
  <si>
    <t>Вакансій ВТП:</t>
  </si>
  <si>
    <t>Вакансій всього:</t>
  </si>
  <si>
    <t>трактор МТЗ "Беларус-82.1"</t>
  </si>
  <si>
    <t>Відділ з обслуговуваня об'єктів освітлення та доріг</t>
  </si>
  <si>
    <t>класність, доплати</t>
  </si>
  <si>
    <t xml:space="preserve">Мосійчук </t>
  </si>
  <si>
    <t>Нестерчук</t>
  </si>
  <si>
    <t>Цибулько</t>
  </si>
  <si>
    <t>Єсипов</t>
  </si>
  <si>
    <t>Нелеп</t>
  </si>
  <si>
    <t>Пилипчук</t>
  </si>
  <si>
    <t>Юрков</t>
  </si>
  <si>
    <t xml:space="preserve">Алексейчук </t>
  </si>
  <si>
    <t>Ковтунович, Шваб</t>
  </si>
  <si>
    <t>Климович</t>
  </si>
  <si>
    <t>Бібко</t>
  </si>
  <si>
    <t>Мудрик</t>
  </si>
  <si>
    <t>Сторож</t>
  </si>
  <si>
    <t>прожитк.мінімум</t>
  </si>
  <si>
    <t>екскаватор ЕО-2621</t>
  </si>
  <si>
    <t>екскаватор ЕО-2625</t>
  </si>
  <si>
    <t>автомобіль ВАЗ-2107</t>
  </si>
  <si>
    <t>Економіст  ІІ кат.</t>
  </si>
  <si>
    <t>автомобіль МАЗ-5340 С2 ВЛІВ "Медіум Б"</t>
  </si>
  <si>
    <t>Електромонтажник з освітлення та освітлювальних</t>
  </si>
  <si>
    <t>Машиніст автовишки та автогідропідіймача</t>
  </si>
  <si>
    <t>Озеленювач</t>
  </si>
  <si>
    <t>Контролер-ревізор</t>
  </si>
  <si>
    <t>Тракторист</t>
  </si>
  <si>
    <t>Водій навантажувача</t>
  </si>
  <si>
    <t xml:space="preserve">Водій автотранспортного засобу (сміттєвоз) </t>
  </si>
  <si>
    <t xml:space="preserve">Водій автотранспортного засобу (легкова) </t>
  </si>
  <si>
    <t xml:space="preserve">Водій автотранспортного засобу (самоскид) </t>
  </si>
  <si>
    <t xml:space="preserve">Водій автотранспортного засобу (асенізаційна) </t>
  </si>
  <si>
    <t>трактор Т-25 А</t>
  </si>
  <si>
    <t>трактор Т-150 К</t>
  </si>
  <si>
    <t xml:space="preserve">Машиніст екскаватора одноковшового </t>
  </si>
  <si>
    <t xml:space="preserve">Машиніст екскаватора </t>
  </si>
  <si>
    <t>1210.1</t>
  </si>
  <si>
    <t>1229.7</t>
  </si>
  <si>
    <t>1222.1</t>
  </si>
  <si>
    <t>Виробничо-технічні працівники КП "Овруч" Овруцької міської ради</t>
  </si>
  <si>
    <t xml:space="preserve">Начальник відділу </t>
  </si>
  <si>
    <t>Працівники апарату управління КП "Овруч" Овруцької міської ради</t>
  </si>
  <si>
    <t>Всього по підприєству</t>
  </si>
  <si>
    <t xml:space="preserve">                ЗБУТ</t>
  </si>
  <si>
    <t xml:space="preserve">Організаційна структура   </t>
  </si>
  <si>
    <t>автомобіль ВИПО-18-01 С42 R33</t>
  </si>
  <si>
    <t>прожитковий мінімум</t>
  </si>
  <si>
    <t>коеф.робіт.1 розряду</t>
  </si>
  <si>
    <t>коеф. За видами робіт</t>
  </si>
  <si>
    <t>коеф. За проф. двірник,робітників з благоустрою</t>
  </si>
  <si>
    <t>технічні службовці, контролер -ревізор</t>
  </si>
  <si>
    <t>начальники відділів</t>
  </si>
  <si>
    <t>майстри</t>
  </si>
  <si>
    <t>Кол.дог</t>
  </si>
  <si>
    <t xml:space="preserve">                 Загальновиробничий відділ</t>
  </si>
  <si>
    <t>3 розрряд</t>
  </si>
  <si>
    <t xml:space="preserve">Посадові   оклади     </t>
  </si>
  <si>
    <t>проф майстерність</t>
  </si>
  <si>
    <t xml:space="preserve">нічні 35 %, шкідливі </t>
  </si>
  <si>
    <t>Згідно виду діяльності «Підприємства з вивезення твердих та рідких побутових відходів, обслуговування сміттєзвалищ» основною професією є водій автотранспортного засобу (сміттєвоз).</t>
  </si>
  <si>
    <t>25+25*4841</t>
  </si>
  <si>
    <t>10+25*4841</t>
  </si>
  <si>
    <t>Прожитков мінімум на 01.01.2019</t>
  </si>
  <si>
    <t>Коеф.за видами робіт</t>
  </si>
  <si>
    <t>Посад оклад діючий</t>
  </si>
  <si>
    <t>Фонд з/пл діючий</t>
  </si>
  <si>
    <t>На руки діючі</t>
  </si>
  <si>
    <t>посадові коефіціенти  та розряди працівників</t>
  </si>
  <si>
    <t>Посадові оклади  нові на 01.01.2019р.</t>
  </si>
  <si>
    <t>годинна ставка</t>
  </si>
  <si>
    <t xml:space="preserve">доплата за класність </t>
  </si>
  <si>
    <t>доплата за нічний час</t>
  </si>
  <si>
    <t>доплата за шкідливі умови праці 12%</t>
  </si>
  <si>
    <t>Доплата за профмайстерність 16%,20%</t>
  </si>
  <si>
    <t>Суіщення посад</t>
  </si>
  <si>
    <t>Посадові оклади з урахуванням доплат</t>
  </si>
  <si>
    <t>Фонд заробітної плати  новий</t>
  </si>
  <si>
    <t>Зарплата на руки нова</t>
  </si>
  <si>
    <t>% підвищення</t>
  </si>
  <si>
    <t>доплата до мінімальної 4173</t>
  </si>
  <si>
    <t>коеф співвід роб 1 розряду,140%</t>
  </si>
  <si>
    <t>Доплата за висок</t>
  </si>
  <si>
    <t>%</t>
  </si>
  <si>
    <t>збільшен</t>
  </si>
  <si>
    <t>ЄСВ 22%</t>
  </si>
  <si>
    <t>ЄСВ 8,41%</t>
  </si>
  <si>
    <t>ЄСВ загальн</t>
  </si>
  <si>
    <t>13000-16000</t>
  </si>
  <si>
    <t>на розгляд</t>
  </si>
  <si>
    <t>Маляр</t>
  </si>
  <si>
    <t>Муляр</t>
  </si>
  <si>
    <t>7122.2</t>
  </si>
  <si>
    <t>7141.1</t>
  </si>
  <si>
    <t>Інженер з охорони праці</t>
  </si>
  <si>
    <t>Додаток до рішення  №1550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</si>
</sst>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0" fillId="0" borderId="16" xfId="0" applyBorder="1" applyAlignment="1"/>
    <xf numFmtId="0" fontId="7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/>
    <xf numFmtId="0" fontId="6" fillId="0" borderId="0" xfId="0" applyFont="1" applyBorder="1" applyAlignment="1"/>
    <xf numFmtId="0" fontId="9" fillId="0" borderId="0" xfId="0" applyFont="1" applyAlignment="1"/>
    <xf numFmtId="0" fontId="7" fillId="0" borderId="18" xfId="0" applyFont="1" applyBorder="1" applyAlignment="1">
      <alignment vertical="top" wrapText="1"/>
    </xf>
    <xf numFmtId="0" fontId="0" fillId="0" borderId="0" xfId="0" applyBorder="1" applyAlignment="1"/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" fontId="7" fillId="2" borderId="15" xfId="0" applyNumberFormat="1" applyFont="1" applyFill="1" applyBorder="1" applyAlignment="1">
      <alignment horizontal="center" vertical="center" wrapText="1"/>
    </xf>
    <xf numFmtId="2" fontId="7" fillId="2" borderId="15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textRotation="90" wrapText="1"/>
    </xf>
    <xf numFmtId="0" fontId="7" fillId="2" borderId="25" xfId="0" applyFont="1" applyFill="1" applyBorder="1" applyAlignment="1">
      <alignment horizontal="center" vertical="top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2" fontId="7" fillId="2" borderId="2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vertical="top" wrapText="1"/>
    </xf>
    <xf numFmtId="0" fontId="6" fillId="0" borderId="31" xfId="0" applyFont="1" applyBorder="1" applyAlignment="1">
      <alignment wrapText="1"/>
    </xf>
    <xf numFmtId="2" fontId="6" fillId="2" borderId="2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1" fontId="6" fillId="2" borderId="1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 wrapText="1"/>
    </xf>
    <xf numFmtId="1" fontId="6" fillId="2" borderId="26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6" fillId="0" borderId="6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23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textRotation="90" wrapText="1"/>
    </xf>
    <xf numFmtId="0" fontId="7" fillId="2" borderId="3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6" fillId="2" borderId="31" xfId="0" applyNumberFormat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31" xfId="0" applyFont="1" applyBorder="1" applyAlignment="1">
      <alignment vertical="top" wrapText="1"/>
    </xf>
    <xf numFmtId="0" fontId="7" fillId="0" borderId="35" xfId="0" applyFont="1" applyBorder="1" applyAlignment="1">
      <alignment horizontal="left" vertical="top" wrapText="1"/>
    </xf>
    <xf numFmtId="0" fontId="5" fillId="2" borderId="29" xfId="0" applyFont="1" applyFill="1" applyBorder="1" applyAlignment="1">
      <alignment horizontal="center" vertical="center" textRotation="90" wrapText="1"/>
    </xf>
    <xf numFmtId="0" fontId="6" fillId="2" borderId="3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top" wrapText="1"/>
    </xf>
    <xf numFmtId="0" fontId="7" fillId="2" borderId="31" xfId="0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0" borderId="40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7" fillId="0" borderId="29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top" wrapText="1"/>
    </xf>
    <xf numFmtId="0" fontId="6" fillId="0" borderId="31" xfId="0" applyFont="1" applyFill="1" applyBorder="1" applyAlignment="1">
      <alignment horizontal="left" vertical="top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/>
    </xf>
    <xf numFmtId="0" fontId="6" fillId="0" borderId="41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4" fillId="0" borderId="39" xfId="0" applyFont="1" applyBorder="1" applyAlignment="1">
      <alignment horizontal="center"/>
    </xf>
    <xf numFmtId="0" fontId="0" fillId="0" borderId="0" xfId="0" applyBorder="1"/>
    <xf numFmtId="0" fontId="7" fillId="0" borderId="31" xfId="0" applyFont="1" applyBorder="1" applyAlignment="1">
      <alignment horizontal="left" wrapText="1"/>
    </xf>
    <xf numFmtId="1" fontId="7" fillId="0" borderId="18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1" fontId="7" fillId="5" borderId="20" xfId="0" applyNumberFormat="1" applyFont="1" applyFill="1" applyBorder="1" applyAlignment="1">
      <alignment horizontal="center" vertical="center" wrapText="1"/>
    </xf>
    <xf numFmtId="1" fontId="7" fillId="2" borderId="18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1" fontId="7" fillId="2" borderId="34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textRotation="90" wrapText="1"/>
    </xf>
    <xf numFmtId="0" fontId="7" fillId="5" borderId="31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1" fontId="7" fillId="5" borderId="32" xfId="0" applyNumberFormat="1" applyFont="1" applyFill="1" applyBorder="1" applyAlignment="1">
      <alignment horizontal="center" vertical="center" wrapText="1"/>
    </xf>
    <xf numFmtId="1" fontId="7" fillId="5" borderId="7" xfId="0" applyNumberFormat="1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center" vertical="center" wrapText="1"/>
    </xf>
    <xf numFmtId="164" fontId="7" fillId="5" borderId="27" xfId="0" applyNumberFormat="1" applyFont="1" applyFill="1" applyBorder="1" applyAlignment="1">
      <alignment horizontal="center" vertical="center" wrapText="1"/>
    </xf>
    <xf numFmtId="1" fontId="7" fillId="5" borderId="27" xfId="0" applyNumberFormat="1" applyFont="1" applyFill="1" applyBorder="1" applyAlignment="1">
      <alignment horizontal="center" vertical="center" wrapText="1"/>
    </xf>
    <xf numFmtId="1" fontId="7" fillId="6" borderId="6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6" xfId="0" applyNumberFormat="1" applyFont="1" applyFill="1" applyBorder="1" applyAlignment="1">
      <alignment horizontal="center" vertical="center" wrapText="1"/>
    </xf>
    <xf numFmtId="1" fontId="7" fillId="6" borderId="26" xfId="0" applyNumberFormat="1" applyFont="1" applyFill="1" applyBorder="1" applyAlignment="1">
      <alignment horizontal="center" vertical="center" wrapText="1"/>
    </xf>
    <xf numFmtId="2" fontId="7" fillId="5" borderId="20" xfId="0" applyNumberFormat="1" applyFont="1" applyFill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31" xfId="0" applyFont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Fill="1"/>
    <xf numFmtId="0" fontId="6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5" fillId="2" borderId="2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2" borderId="46" xfId="0" applyNumberFormat="1" applyFont="1" applyFill="1" applyBorder="1" applyAlignment="1">
      <alignment horizontal="center" vertical="center" wrapText="1"/>
    </xf>
    <xf numFmtId="1" fontId="11" fillId="5" borderId="38" xfId="0" applyNumberFormat="1" applyFont="1" applyFill="1" applyBorder="1" applyAlignment="1">
      <alignment horizontal="center" vertical="center" wrapText="1"/>
    </xf>
    <xf numFmtId="1" fontId="7" fillId="5" borderId="26" xfId="0" applyNumberFormat="1" applyFont="1" applyFill="1" applyBorder="1" applyAlignment="1">
      <alignment horizontal="center" vertical="center" wrapText="1"/>
    </xf>
    <xf numFmtId="1" fontId="7" fillId="3" borderId="28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4" borderId="31" xfId="0" applyFont="1" applyFill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/>
    </xf>
    <xf numFmtId="1" fontId="3" fillId="0" borderId="31" xfId="0" applyNumberFormat="1" applyFont="1" applyBorder="1" applyAlignment="1">
      <alignment horizontal="center"/>
    </xf>
    <xf numFmtId="0" fontId="3" fillId="0" borderId="31" xfId="0" applyFont="1" applyFill="1" applyBorder="1"/>
    <xf numFmtId="0" fontId="6" fillId="0" borderId="31" xfId="0" applyFont="1" applyFill="1" applyBorder="1" applyAlignment="1">
      <alignment horizontal="center" vertical="center" textRotation="90" wrapText="1"/>
    </xf>
    <xf numFmtId="0" fontId="3" fillId="0" borderId="31" xfId="0" applyFont="1" applyFill="1" applyBorder="1" applyAlignment="1">
      <alignment vertical="center"/>
    </xf>
    <xf numFmtId="1" fontId="6" fillId="0" borderId="3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1" fontId="6" fillId="0" borderId="36" xfId="0" applyNumberFormat="1" applyFont="1" applyFill="1" applyBorder="1" applyAlignment="1">
      <alignment horizontal="center" vertical="center" wrapText="1"/>
    </xf>
    <xf numFmtId="1" fontId="7" fillId="0" borderId="49" xfId="0" applyNumberFormat="1" applyFont="1" applyFill="1" applyBorder="1" applyAlignment="1">
      <alignment horizontal="center" vertical="center" wrapText="1"/>
    </xf>
    <xf numFmtId="1" fontId="7" fillId="0" borderId="48" xfId="0" applyNumberFormat="1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top" wrapText="1"/>
    </xf>
    <xf numFmtId="1" fontId="7" fillId="0" borderId="36" xfId="0" applyNumberFormat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164" fontId="7" fillId="0" borderId="10" xfId="0" applyNumberFormat="1" applyFont="1" applyFill="1" applyBorder="1" applyAlignment="1">
      <alignment horizontal="center" vertical="top" wrapText="1"/>
    </xf>
    <xf numFmtId="2" fontId="7" fillId="0" borderId="10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1" fontId="7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Fill="1" applyBorder="1" applyAlignment="1">
      <alignment horizontal="center" vertical="center" wrapText="1"/>
    </xf>
    <xf numFmtId="2" fontId="7" fillId="0" borderId="20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0" fontId="3" fillId="0" borderId="9" xfId="0" applyFont="1" applyFill="1" applyBorder="1"/>
    <xf numFmtId="164" fontId="3" fillId="0" borderId="9" xfId="0" applyNumberFormat="1" applyFont="1" applyFill="1" applyBorder="1"/>
    <xf numFmtId="2" fontId="3" fillId="0" borderId="9" xfId="0" applyNumberFormat="1" applyFont="1" applyFill="1" applyBorder="1"/>
    <xf numFmtId="0" fontId="1" fillId="0" borderId="9" xfId="0" applyFont="1" applyFill="1" applyBorder="1"/>
    <xf numFmtId="0" fontId="3" fillId="0" borderId="13" xfId="0" applyFont="1" applyFill="1" applyBorder="1"/>
    <xf numFmtId="1" fontId="1" fillId="0" borderId="20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 wrapText="1"/>
    </xf>
    <xf numFmtId="165" fontId="6" fillId="0" borderId="23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" fontId="7" fillId="0" borderId="39" xfId="0" applyNumberFormat="1" applyFont="1" applyBorder="1" applyAlignment="1">
      <alignment horizontal="center" vertical="center" wrapText="1"/>
    </xf>
    <xf numFmtId="165" fontId="6" fillId="0" borderId="2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" fontId="7" fillId="8" borderId="20" xfId="0" applyNumberFormat="1" applyFont="1" applyFill="1" applyBorder="1" applyAlignment="1">
      <alignment horizontal="center" vertical="center" wrapText="1"/>
    </xf>
    <xf numFmtId="1" fontId="7" fillId="8" borderId="6" xfId="0" applyNumberFormat="1" applyFont="1" applyFill="1" applyBorder="1" applyAlignment="1">
      <alignment horizontal="center" vertical="center" wrapText="1"/>
    </xf>
    <xf numFmtId="1" fontId="7" fillId="8" borderId="21" xfId="0" applyNumberFormat="1" applyFont="1" applyFill="1" applyBorder="1" applyAlignment="1">
      <alignment horizontal="center" vertical="center" wrapText="1"/>
    </xf>
    <xf numFmtId="1" fontId="7" fillId="8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/>
    <xf numFmtId="1" fontId="6" fillId="2" borderId="40" xfId="0" applyNumberFormat="1" applyFont="1" applyFill="1" applyBorder="1" applyAlignment="1">
      <alignment horizontal="center" vertical="center" wrapText="1"/>
    </xf>
    <xf numFmtId="1" fontId="6" fillId="2" borderId="18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1" fontId="6" fillId="2" borderId="46" xfId="0" applyNumberFormat="1" applyFont="1" applyFill="1" applyBorder="1" applyAlignment="1">
      <alignment horizontal="center" vertical="center" wrapText="1"/>
    </xf>
    <xf numFmtId="1" fontId="6" fillId="0" borderId="49" xfId="0" applyNumberFormat="1" applyFont="1" applyFill="1" applyBorder="1" applyAlignment="1">
      <alignment horizontal="center" vertical="center" wrapText="1"/>
    </xf>
    <xf numFmtId="1" fontId="6" fillId="0" borderId="50" xfId="0" applyNumberFormat="1" applyFont="1" applyFill="1" applyBorder="1" applyAlignment="1">
      <alignment horizontal="center" vertical="center" wrapText="1"/>
    </xf>
    <xf numFmtId="1" fontId="6" fillId="0" borderId="33" xfId="0" applyNumberFormat="1" applyFont="1" applyFill="1" applyBorder="1" applyAlignment="1">
      <alignment horizontal="center" vertical="center" wrapText="1"/>
    </xf>
    <xf numFmtId="1" fontId="7" fillId="0" borderId="33" xfId="0" applyNumberFormat="1" applyFont="1" applyFill="1" applyBorder="1" applyAlignment="1">
      <alignment horizontal="center" vertical="center" wrapText="1"/>
    </xf>
    <xf numFmtId="1" fontId="6" fillId="0" borderId="47" xfId="0" applyNumberFormat="1" applyFont="1" applyFill="1" applyBorder="1" applyAlignment="1">
      <alignment horizontal="center" vertical="center" wrapText="1"/>
    </xf>
    <xf numFmtId="164" fontId="6" fillId="0" borderId="47" xfId="0" applyNumberFormat="1" applyFont="1" applyFill="1" applyBorder="1" applyAlignment="1">
      <alignment horizontal="center" vertical="center" wrapText="1"/>
    </xf>
    <xf numFmtId="2" fontId="6" fillId="0" borderId="47" xfId="0" applyNumberFormat="1" applyFont="1" applyFill="1" applyBorder="1" applyAlignment="1">
      <alignment horizontal="center" vertical="center" wrapText="1"/>
    </xf>
    <xf numFmtId="1" fontId="1" fillId="0" borderId="47" xfId="0" applyNumberFormat="1" applyFont="1" applyFill="1" applyBorder="1" applyAlignment="1">
      <alignment horizontal="center" vertical="center" wrapText="1"/>
    </xf>
    <xf numFmtId="165" fontId="6" fillId="0" borderId="51" xfId="0" applyNumberFormat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36" xfId="0" applyFont="1" applyBorder="1" applyAlignment="1">
      <alignment horizontal="center" wrapText="1"/>
    </xf>
    <xf numFmtId="0" fontId="7" fillId="0" borderId="3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3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3" fillId="0" borderId="47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B85"/>
  <sheetViews>
    <sheetView tabSelected="1" zoomScaleNormal="100" zoomScaleSheetLayoutView="75" workbookViewId="0">
      <selection activeCell="J3" sqref="J3"/>
    </sheetView>
  </sheetViews>
  <sheetFormatPr defaultRowHeight="15.75" x14ac:dyDescent="0.25"/>
  <cols>
    <col min="1" max="1" width="6.7109375" style="3" customWidth="1"/>
    <col min="2" max="2" width="42.5703125" style="24" customWidth="1"/>
    <col min="3" max="3" width="17" style="24" hidden="1" customWidth="1"/>
    <col min="4" max="4" width="46" style="24" customWidth="1"/>
    <col min="5" max="5" width="12.42578125" customWidth="1"/>
    <col min="6" max="6" width="10.5703125" customWidth="1"/>
    <col min="7" max="7" width="10" customWidth="1"/>
    <col min="8" max="8" width="10.28515625" customWidth="1"/>
    <col min="9" max="9" width="8.85546875" customWidth="1"/>
    <col min="10" max="10" width="21.140625" customWidth="1"/>
    <col min="11" max="11" width="10" hidden="1" customWidth="1"/>
    <col min="12" max="13" width="14.140625" hidden="1" customWidth="1"/>
    <col min="14" max="14" width="8.7109375" hidden="1" customWidth="1"/>
    <col min="15" max="15" width="8.140625" hidden="1" customWidth="1"/>
    <col min="16" max="16" width="6.7109375" hidden="1" customWidth="1"/>
    <col min="17" max="17" width="12" hidden="1" customWidth="1"/>
    <col min="18" max="18" width="2.42578125" style="91" hidden="1" customWidth="1"/>
    <col min="19" max="19" width="9.5703125" style="190" hidden="1" customWidth="1"/>
    <col min="20" max="20" width="10" style="190" hidden="1" customWidth="1"/>
    <col min="21" max="21" width="9.7109375" style="203" hidden="1" customWidth="1"/>
    <col min="22" max="22" width="9.85546875" style="190" hidden="1" customWidth="1"/>
    <col min="23" max="23" width="7.85546875" style="190" hidden="1" customWidth="1"/>
    <col min="24" max="24" width="8.28515625" style="190" hidden="1" customWidth="1"/>
    <col min="25" max="25" width="10.5703125" style="190" hidden="1" customWidth="1"/>
    <col min="26" max="26" width="12.85546875" style="203" hidden="1" customWidth="1"/>
    <col min="27" max="27" width="7.140625" style="190" hidden="1" customWidth="1"/>
    <col min="28" max="28" width="6" style="190" hidden="1" customWidth="1"/>
    <col min="29" max="29" width="8.85546875" style="190" hidden="1" customWidth="1"/>
    <col min="30" max="30" width="8" style="190" hidden="1" customWidth="1"/>
    <col min="31" max="31" width="6.85546875" style="190" hidden="1" customWidth="1"/>
    <col min="32" max="32" width="7.42578125" style="190" hidden="1" customWidth="1"/>
    <col min="33" max="33" width="7.140625" style="190" hidden="1" customWidth="1"/>
    <col min="34" max="34" width="6" style="190" hidden="1" customWidth="1"/>
    <col min="35" max="35" width="10.85546875" style="190" hidden="1" customWidth="1"/>
    <col min="36" max="36" width="9.42578125" style="190" hidden="1" customWidth="1"/>
    <col min="37" max="37" width="8.85546875" style="203" hidden="1" customWidth="1"/>
    <col min="38" max="40" width="8.7109375" style="190" hidden="1" customWidth="1"/>
    <col min="41" max="41" width="7.28515625" style="200" hidden="1" customWidth="1"/>
    <col min="42" max="42" width="11.7109375" style="190" hidden="1" customWidth="1"/>
    <col min="43" max="43" width="7.42578125" style="2" hidden="1" customWidth="1"/>
    <col min="44" max="44" width="8.42578125" style="2" hidden="1" customWidth="1"/>
    <col min="45" max="46" width="7.28515625" style="2" hidden="1" customWidth="1"/>
    <col min="47" max="47" width="8.28515625" style="2" hidden="1" customWidth="1"/>
    <col min="48" max="48" width="7.42578125" style="2" hidden="1" customWidth="1"/>
    <col min="49" max="52" width="9.140625" style="2" hidden="1" customWidth="1"/>
    <col min="53" max="54" width="9.140625" hidden="1" customWidth="1"/>
    <col min="55" max="59" width="0" hidden="1" customWidth="1"/>
  </cols>
  <sheetData>
    <row r="1" spans="1:54" ht="1.5" customHeight="1" x14ac:dyDescent="0.25">
      <c r="G1" s="86"/>
      <c r="H1" s="86"/>
      <c r="I1" s="86"/>
      <c r="J1" s="86"/>
      <c r="K1" s="86"/>
    </row>
    <row r="2" spans="1:54" ht="1.5" customHeight="1" x14ac:dyDescent="0.25">
      <c r="G2" s="86"/>
      <c r="H2" s="86"/>
      <c r="I2" s="86"/>
      <c r="J2" s="86"/>
      <c r="K2" s="86"/>
    </row>
    <row r="3" spans="1:54" ht="13.5" customHeight="1" x14ac:dyDescent="0.25">
      <c r="A3" s="292"/>
      <c r="B3" s="293"/>
      <c r="C3" s="293"/>
      <c r="D3" s="293"/>
      <c r="E3" s="294"/>
      <c r="F3" s="294"/>
      <c r="G3" s="86"/>
      <c r="H3" s="295"/>
      <c r="I3" s="295"/>
      <c r="J3" s="295" t="s">
        <v>158</v>
      </c>
      <c r="K3" s="86"/>
    </row>
    <row r="4" spans="1:54" ht="18.75" customHeight="1" thickBot="1" x14ac:dyDescent="0.35">
      <c r="A4" s="314" t="s">
        <v>108</v>
      </c>
      <c r="B4" s="314"/>
      <c r="C4" s="314"/>
      <c r="D4" s="314"/>
      <c r="E4" s="314"/>
      <c r="F4" s="314"/>
      <c r="G4" s="314"/>
      <c r="H4" s="314"/>
      <c r="I4" s="314"/>
      <c r="J4" s="314"/>
      <c r="K4" s="175"/>
      <c r="L4" s="175"/>
      <c r="M4" s="175"/>
      <c r="N4" s="175"/>
      <c r="O4" s="175"/>
      <c r="P4" s="175"/>
      <c r="Q4" s="175"/>
      <c r="R4" s="177"/>
      <c r="S4" s="191"/>
      <c r="T4" s="191"/>
      <c r="U4" s="204"/>
      <c r="V4" s="191"/>
      <c r="W4" s="191"/>
      <c r="X4" s="191"/>
      <c r="Y4" s="191"/>
      <c r="Z4" s="204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204"/>
      <c r="AL4" s="191"/>
      <c r="AM4" s="191"/>
      <c r="AN4" s="191"/>
      <c r="AO4" s="193"/>
      <c r="AQ4" s="2" t="s">
        <v>80</v>
      </c>
      <c r="AS4" s="2">
        <v>1921</v>
      </c>
      <c r="AT4" s="2" t="s">
        <v>20</v>
      </c>
      <c r="AU4" s="192">
        <v>166.08</v>
      </c>
    </row>
    <row r="5" spans="1:54" ht="17.25" customHeight="1" x14ac:dyDescent="0.3">
      <c r="A5" s="315" t="s">
        <v>39</v>
      </c>
      <c r="B5" s="315"/>
      <c r="C5" s="315"/>
      <c r="D5" s="315"/>
      <c r="E5" s="315"/>
      <c r="F5" s="315"/>
      <c r="G5" s="315"/>
      <c r="H5" s="315"/>
      <c r="I5" s="315"/>
      <c r="J5" s="315"/>
      <c r="K5" s="174"/>
      <c r="L5" s="174"/>
      <c r="M5" s="174"/>
      <c r="N5" s="174"/>
      <c r="O5" s="174"/>
      <c r="P5" s="174"/>
      <c r="Q5" s="174"/>
      <c r="R5" s="178"/>
      <c r="S5" s="322" t="s">
        <v>128</v>
      </c>
      <c r="T5" s="324" t="s">
        <v>129</v>
      </c>
      <c r="U5" s="312" t="s">
        <v>130</v>
      </c>
      <c r="V5" s="312" t="s">
        <v>126</v>
      </c>
      <c r="W5" s="324" t="s">
        <v>144</v>
      </c>
      <c r="X5" s="324" t="s">
        <v>127</v>
      </c>
      <c r="Y5" s="324" t="s">
        <v>131</v>
      </c>
      <c r="Z5" s="312" t="s">
        <v>132</v>
      </c>
      <c r="AA5" s="324" t="s">
        <v>133</v>
      </c>
      <c r="AB5" s="324" t="s">
        <v>143</v>
      </c>
      <c r="AC5" s="324" t="s">
        <v>136</v>
      </c>
      <c r="AD5" s="324" t="s">
        <v>134</v>
      </c>
      <c r="AE5" s="324" t="s">
        <v>135</v>
      </c>
      <c r="AF5" s="324" t="s">
        <v>137</v>
      </c>
      <c r="AG5" s="328" t="s">
        <v>145</v>
      </c>
      <c r="AH5" s="324" t="s">
        <v>138</v>
      </c>
      <c r="AI5" s="324" t="s">
        <v>139</v>
      </c>
      <c r="AJ5" s="324" t="s">
        <v>140</v>
      </c>
      <c r="AK5" s="312" t="s">
        <v>141</v>
      </c>
      <c r="AL5" s="326" t="s">
        <v>142</v>
      </c>
      <c r="AM5" s="201"/>
      <c r="AN5" s="201"/>
      <c r="AO5" s="201"/>
      <c r="AP5" s="219"/>
    </row>
    <row r="6" spans="1:54" ht="25.5" customHeight="1" thickBot="1" x14ac:dyDescent="0.3">
      <c r="A6" s="28"/>
      <c r="B6" s="28"/>
      <c r="C6" s="28"/>
      <c r="D6" s="28"/>
      <c r="E6" s="28"/>
      <c r="G6" s="28"/>
      <c r="H6" s="1"/>
      <c r="J6" s="28"/>
      <c r="K6" s="39"/>
      <c r="L6" s="39"/>
      <c r="M6" s="39"/>
      <c r="N6" s="39"/>
      <c r="O6" s="39"/>
      <c r="P6" s="39"/>
      <c r="Q6" s="39"/>
      <c r="R6" s="179"/>
      <c r="S6" s="323"/>
      <c r="T6" s="325"/>
      <c r="U6" s="313"/>
      <c r="V6" s="313"/>
      <c r="W6" s="325"/>
      <c r="X6" s="325"/>
      <c r="Y6" s="325"/>
      <c r="Z6" s="313"/>
      <c r="AA6" s="325"/>
      <c r="AB6" s="325"/>
      <c r="AC6" s="325"/>
      <c r="AD6" s="325"/>
      <c r="AE6" s="325"/>
      <c r="AF6" s="325"/>
      <c r="AG6" s="329"/>
      <c r="AH6" s="325"/>
      <c r="AI6" s="325"/>
      <c r="AJ6" s="325"/>
      <c r="AK6" s="313"/>
      <c r="AL6" s="327"/>
      <c r="AM6" s="201"/>
      <c r="AN6" s="201"/>
      <c r="AO6" s="201"/>
      <c r="AP6" s="219"/>
      <c r="AQ6" s="214" t="s">
        <v>19</v>
      </c>
      <c r="AR6" s="194" t="s">
        <v>3</v>
      </c>
      <c r="AS6" s="194" t="s">
        <v>6</v>
      </c>
      <c r="AT6" s="9" t="s">
        <v>1</v>
      </c>
      <c r="AU6" s="194" t="s">
        <v>2</v>
      </c>
      <c r="AV6" s="194" t="s">
        <v>9</v>
      </c>
    </row>
    <row r="7" spans="1:54" s="26" customFormat="1" ht="81" customHeight="1" thickBot="1" x14ac:dyDescent="0.3">
      <c r="A7" s="121" t="s">
        <v>22</v>
      </c>
      <c r="B7" s="80" t="s">
        <v>23</v>
      </c>
      <c r="C7" s="80"/>
      <c r="D7" s="40" t="s">
        <v>46</v>
      </c>
      <c r="E7" s="40" t="s">
        <v>24</v>
      </c>
      <c r="F7" s="41" t="s">
        <v>0</v>
      </c>
      <c r="G7" s="40" t="s">
        <v>37</v>
      </c>
      <c r="H7" s="41" t="s">
        <v>45</v>
      </c>
      <c r="I7" s="41" t="s">
        <v>14</v>
      </c>
      <c r="J7" s="64" t="s">
        <v>43</v>
      </c>
      <c r="K7" s="107" t="s">
        <v>120</v>
      </c>
      <c r="L7" s="46" t="s">
        <v>57</v>
      </c>
      <c r="M7" s="47" t="s">
        <v>45</v>
      </c>
      <c r="N7" s="70" t="s">
        <v>122</v>
      </c>
      <c r="O7" s="70" t="s">
        <v>121</v>
      </c>
      <c r="P7" s="70" t="s">
        <v>66</v>
      </c>
      <c r="Q7" s="206" t="s">
        <v>58</v>
      </c>
      <c r="R7" s="180"/>
      <c r="S7" s="323"/>
      <c r="T7" s="325"/>
      <c r="U7" s="313"/>
      <c r="V7" s="313"/>
      <c r="W7" s="325"/>
      <c r="X7" s="325"/>
      <c r="Y7" s="325"/>
      <c r="Z7" s="313"/>
      <c r="AA7" s="325"/>
      <c r="AB7" s="325"/>
      <c r="AC7" s="325"/>
      <c r="AD7" s="325"/>
      <c r="AE7" s="325"/>
      <c r="AF7" s="325"/>
      <c r="AG7" s="330"/>
      <c r="AH7" s="325"/>
      <c r="AI7" s="325"/>
      <c r="AJ7" s="325"/>
      <c r="AK7" s="313"/>
      <c r="AL7" s="327"/>
      <c r="AM7" s="201"/>
      <c r="AN7" s="201"/>
      <c r="AO7" s="201"/>
      <c r="AP7" s="220"/>
      <c r="AQ7" s="215">
        <v>1</v>
      </c>
      <c r="AR7" s="10">
        <v>1.08</v>
      </c>
      <c r="AS7" s="10">
        <v>1.2</v>
      </c>
      <c r="AT7" s="10">
        <v>1.35</v>
      </c>
      <c r="AU7" s="10">
        <v>1.54</v>
      </c>
      <c r="AV7" s="10">
        <v>1.8</v>
      </c>
      <c r="AW7" s="195"/>
      <c r="AX7" s="195"/>
      <c r="AY7" s="195"/>
      <c r="AZ7" s="195"/>
    </row>
    <row r="8" spans="1:54" ht="13.5" customHeight="1" x14ac:dyDescent="0.25">
      <c r="A8" s="126"/>
      <c r="B8" s="316" t="s">
        <v>105</v>
      </c>
      <c r="C8" s="316"/>
      <c r="D8" s="316"/>
      <c r="E8" s="316"/>
      <c r="F8" s="316"/>
      <c r="G8" s="316"/>
      <c r="H8" s="316"/>
      <c r="I8" s="316"/>
      <c r="J8" s="317"/>
      <c r="K8" s="103"/>
      <c r="L8" s="96"/>
      <c r="M8" s="96"/>
      <c r="N8" s="97"/>
      <c r="O8" s="97"/>
      <c r="P8" s="97"/>
      <c r="Q8" s="97"/>
      <c r="R8" s="236"/>
      <c r="S8" s="225"/>
      <c r="T8" s="16"/>
      <c r="U8" s="100"/>
      <c r="V8" s="16"/>
      <c r="W8" s="16"/>
      <c r="X8" s="16"/>
      <c r="Y8" s="16"/>
      <c r="Z8" s="207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00"/>
      <c r="AL8" s="226"/>
      <c r="AM8" s="181"/>
      <c r="AN8" s="181"/>
      <c r="AO8" s="181"/>
      <c r="AP8" s="219"/>
    </row>
    <row r="9" spans="1:54" ht="31.5" x14ac:dyDescent="0.25">
      <c r="A9" s="119">
        <v>1</v>
      </c>
      <c r="B9" s="84" t="s">
        <v>15</v>
      </c>
      <c r="C9" s="25"/>
      <c r="D9" s="25"/>
      <c r="E9" s="12" t="s">
        <v>100</v>
      </c>
      <c r="F9" s="15" t="s">
        <v>40</v>
      </c>
      <c r="G9" s="15"/>
      <c r="H9" s="12">
        <v>1</v>
      </c>
      <c r="I9" s="173">
        <v>14495</v>
      </c>
      <c r="J9" s="92">
        <v>14495</v>
      </c>
      <c r="K9" s="108">
        <f t="shared" ref="K9:K16" si="0">I9</f>
        <v>14495</v>
      </c>
      <c r="L9" s="49">
        <f>K9*H9</f>
        <v>14495</v>
      </c>
      <c r="M9" s="49">
        <v>1</v>
      </c>
      <c r="N9" s="72"/>
      <c r="O9" s="72"/>
      <c r="P9" s="72"/>
      <c r="Q9" s="90">
        <f t="shared" ref="Q9:Q16" si="1">K9*M9+P9</f>
        <v>14495</v>
      </c>
      <c r="R9" s="237"/>
      <c r="S9" s="227">
        <v>10000</v>
      </c>
      <c r="T9" s="172">
        <v>10000</v>
      </c>
      <c r="U9" s="209">
        <f>T9-(T9*19.5%)</f>
        <v>8050</v>
      </c>
      <c r="V9" s="172">
        <v>1921</v>
      </c>
      <c r="W9" s="232">
        <v>1.4</v>
      </c>
      <c r="X9" s="232">
        <v>1.5</v>
      </c>
      <c r="Y9" s="234" t="s">
        <v>152</v>
      </c>
      <c r="Z9" s="208" t="s">
        <v>151</v>
      </c>
      <c r="AA9" s="234"/>
      <c r="AB9" s="172"/>
      <c r="AC9" s="172"/>
      <c r="AD9" s="172"/>
      <c r="AE9" s="172"/>
      <c r="AF9" s="172"/>
      <c r="AG9" s="172"/>
      <c r="AH9" s="172"/>
      <c r="AI9" s="172" t="str">
        <f>Z9</f>
        <v>13000-16000</v>
      </c>
      <c r="AJ9" s="172">
        <v>13000</v>
      </c>
      <c r="AK9" s="209">
        <f t="shared" ref="AK9:AK16" si="2">AJ9-(AJ9*19.5%)</f>
        <v>10465</v>
      </c>
      <c r="AL9" s="245">
        <f t="shared" ref="AL9:AL16" si="3">AK9/U9</f>
        <v>1.3</v>
      </c>
      <c r="AM9" s="285"/>
      <c r="AN9" s="285"/>
      <c r="AO9" s="182"/>
      <c r="AP9" s="219">
        <f>AS9*AS10*AS11*AQ9</f>
        <v>13635.258</v>
      </c>
      <c r="AQ9" s="214">
        <v>3.38</v>
      </c>
      <c r="AR9" s="2" t="s">
        <v>117</v>
      </c>
      <c r="AS9" s="2">
        <v>1921</v>
      </c>
      <c r="AT9" s="2" t="s">
        <v>110</v>
      </c>
    </row>
    <row r="10" spans="1:54" x14ac:dyDescent="0.25">
      <c r="A10" s="119">
        <v>2</v>
      </c>
      <c r="B10" s="82" t="s">
        <v>41</v>
      </c>
      <c r="C10" s="5"/>
      <c r="D10" s="5"/>
      <c r="E10" s="14" t="s">
        <v>102</v>
      </c>
      <c r="F10" s="14"/>
      <c r="G10" s="14"/>
      <c r="H10" s="14">
        <v>1</v>
      </c>
      <c r="I10" s="19">
        <f>Z10</f>
        <v>10690</v>
      </c>
      <c r="J10" s="66">
        <f t="shared" ref="J10:J14" si="4">H10*I10</f>
        <v>10690</v>
      </c>
      <c r="K10" s="101">
        <f t="shared" si="0"/>
        <v>10690</v>
      </c>
      <c r="L10" s="87">
        <f t="shared" ref="L10:L16" si="5">K10*H10</f>
        <v>10690</v>
      </c>
      <c r="M10" s="49">
        <v>1</v>
      </c>
      <c r="N10" s="72"/>
      <c r="O10" s="72"/>
      <c r="P10" s="72"/>
      <c r="Q10" s="90">
        <f t="shared" si="1"/>
        <v>10690</v>
      </c>
      <c r="R10" s="237"/>
      <c r="S10" s="227">
        <v>8245</v>
      </c>
      <c r="T10" s="172">
        <f>S10</f>
        <v>8245</v>
      </c>
      <c r="U10" s="209">
        <f t="shared" ref="U10:U16" si="6">T10-(T10*19.5%)</f>
        <v>6637</v>
      </c>
      <c r="V10" s="172">
        <v>1921</v>
      </c>
      <c r="W10" s="232">
        <v>1.4</v>
      </c>
      <c r="X10" s="232">
        <v>1.5</v>
      </c>
      <c r="Y10" s="234">
        <v>2.65</v>
      </c>
      <c r="Z10" s="208">
        <f>V10*W10*X10*Y10</f>
        <v>10690</v>
      </c>
      <c r="AA10" s="234">
        <f t="shared" ref="AA10:AA16" si="7">Z10/166.08</f>
        <v>64.37</v>
      </c>
      <c r="AB10" s="172"/>
      <c r="AC10" s="172"/>
      <c r="AD10" s="172"/>
      <c r="AE10" s="172"/>
      <c r="AF10" s="172"/>
      <c r="AG10" s="172"/>
      <c r="AH10" s="172"/>
      <c r="AI10" s="172">
        <f t="shared" ref="AI10:AI16" si="8">Z10</f>
        <v>10690</v>
      </c>
      <c r="AJ10" s="172">
        <f>AI10*H10</f>
        <v>10690</v>
      </c>
      <c r="AK10" s="209">
        <f t="shared" si="2"/>
        <v>8605</v>
      </c>
      <c r="AL10" s="245">
        <f t="shared" si="3"/>
        <v>1.2969999999999999</v>
      </c>
      <c r="AM10" s="285"/>
      <c r="AN10" s="285"/>
      <c r="AO10" s="182"/>
      <c r="AP10" s="219">
        <f>AS9*AS10*AS11*AQ10</f>
        <v>10690.365</v>
      </c>
      <c r="AQ10" s="216">
        <v>2.65</v>
      </c>
      <c r="AR10" s="2" t="s">
        <v>117</v>
      </c>
      <c r="AS10" s="2">
        <v>1.4</v>
      </c>
      <c r="AT10" s="2" t="s">
        <v>111</v>
      </c>
    </row>
    <row r="11" spans="1:54" x14ac:dyDescent="0.25">
      <c r="A11" s="119">
        <v>3</v>
      </c>
      <c r="B11" s="82" t="s">
        <v>17</v>
      </c>
      <c r="C11" s="5"/>
      <c r="D11" s="5"/>
      <c r="E11" s="14">
        <v>1231</v>
      </c>
      <c r="F11" s="14"/>
      <c r="G11" s="14"/>
      <c r="H11" s="14">
        <v>1</v>
      </c>
      <c r="I11" s="19">
        <f t="shared" ref="I11:I16" si="9">Z11</f>
        <v>10690</v>
      </c>
      <c r="J11" s="66">
        <f t="shared" si="4"/>
        <v>10690</v>
      </c>
      <c r="K11" s="101">
        <f t="shared" si="0"/>
        <v>10690</v>
      </c>
      <c r="L11" s="87">
        <f t="shared" si="5"/>
        <v>10690</v>
      </c>
      <c r="M11" s="49">
        <v>1</v>
      </c>
      <c r="N11" s="72"/>
      <c r="O11" s="72"/>
      <c r="P11" s="85"/>
      <c r="Q11" s="90">
        <f t="shared" si="1"/>
        <v>10690</v>
      </c>
      <c r="R11" s="237"/>
      <c r="S11" s="227">
        <v>8245</v>
      </c>
      <c r="T11" s="172">
        <f t="shared" ref="T11:T13" si="10">S11</f>
        <v>8245</v>
      </c>
      <c r="U11" s="209">
        <f t="shared" si="6"/>
        <v>6637</v>
      </c>
      <c r="V11" s="172">
        <v>1921</v>
      </c>
      <c r="W11" s="232">
        <v>1.4</v>
      </c>
      <c r="X11" s="232">
        <v>1.5</v>
      </c>
      <c r="Y11" s="234">
        <v>2.65</v>
      </c>
      <c r="Z11" s="208">
        <f t="shared" ref="Z11" si="11">V11*W11*X11*Y11</f>
        <v>10690</v>
      </c>
      <c r="AA11" s="234">
        <f t="shared" si="7"/>
        <v>64.37</v>
      </c>
      <c r="AB11" s="172"/>
      <c r="AC11" s="172"/>
      <c r="AD11" s="172"/>
      <c r="AE11" s="172"/>
      <c r="AF11" s="172"/>
      <c r="AG11" s="172"/>
      <c r="AH11" s="172"/>
      <c r="AI11" s="172">
        <f t="shared" si="8"/>
        <v>10690</v>
      </c>
      <c r="AJ11" s="172">
        <f>AI11*H11</f>
        <v>10690</v>
      </c>
      <c r="AK11" s="209">
        <f t="shared" si="2"/>
        <v>8605</v>
      </c>
      <c r="AL11" s="245">
        <f t="shared" si="3"/>
        <v>1.2969999999999999</v>
      </c>
      <c r="AM11" s="285"/>
      <c r="AN11" s="285"/>
      <c r="AO11" s="182"/>
      <c r="AP11" s="219">
        <f>AS9*AS10*AS11*AQ11</f>
        <v>10690.365</v>
      </c>
      <c r="AQ11" s="216">
        <v>2.65</v>
      </c>
      <c r="AR11" s="2" t="s">
        <v>117</v>
      </c>
      <c r="AS11" s="2">
        <v>1.5</v>
      </c>
      <c r="AT11" s="2" t="s">
        <v>112</v>
      </c>
      <c r="AW11" s="318" t="s">
        <v>123</v>
      </c>
      <c r="AX11" s="318"/>
      <c r="AY11" s="318"/>
      <c r="AZ11" s="318"/>
      <c r="BA11" s="318"/>
      <c r="BB11" s="318"/>
    </row>
    <row r="12" spans="1:54" x14ac:dyDescent="0.25">
      <c r="A12" s="119">
        <v>4</v>
      </c>
      <c r="B12" s="82" t="s">
        <v>29</v>
      </c>
      <c r="C12" s="5"/>
      <c r="D12" s="5"/>
      <c r="E12" s="14">
        <v>3433</v>
      </c>
      <c r="F12" s="14"/>
      <c r="G12" s="14"/>
      <c r="H12" s="14">
        <v>1</v>
      </c>
      <c r="I12" s="19">
        <f t="shared" si="9"/>
        <v>7260</v>
      </c>
      <c r="J12" s="66">
        <f t="shared" si="4"/>
        <v>7260</v>
      </c>
      <c r="K12" s="101">
        <f t="shared" si="0"/>
        <v>7260</v>
      </c>
      <c r="L12" s="87">
        <f t="shared" si="5"/>
        <v>7260</v>
      </c>
      <c r="M12" s="49">
        <v>1</v>
      </c>
      <c r="N12" s="72"/>
      <c r="O12" s="72"/>
      <c r="P12" s="72"/>
      <c r="Q12" s="90">
        <f t="shared" si="1"/>
        <v>7260</v>
      </c>
      <c r="R12" s="237"/>
      <c r="S12" s="227">
        <v>5390</v>
      </c>
      <c r="T12" s="172">
        <f t="shared" si="10"/>
        <v>5390</v>
      </c>
      <c r="U12" s="209">
        <f t="shared" si="6"/>
        <v>4339</v>
      </c>
      <c r="V12" s="172">
        <v>1921</v>
      </c>
      <c r="W12" s="232">
        <v>1.4</v>
      </c>
      <c r="X12" s="232">
        <v>1.5</v>
      </c>
      <c r="Y12" s="234">
        <v>1.8</v>
      </c>
      <c r="Z12" s="208">
        <f>V12*W12*X12*Y12-1</f>
        <v>7260</v>
      </c>
      <c r="AA12" s="234">
        <f t="shared" si="7"/>
        <v>43.71</v>
      </c>
      <c r="AB12" s="172"/>
      <c r="AC12" s="172"/>
      <c r="AD12" s="172"/>
      <c r="AE12" s="172"/>
      <c r="AF12" s="172"/>
      <c r="AG12" s="172"/>
      <c r="AH12" s="172"/>
      <c r="AI12" s="172">
        <f t="shared" si="8"/>
        <v>7260</v>
      </c>
      <c r="AJ12" s="172">
        <f>AI12*H12</f>
        <v>7260</v>
      </c>
      <c r="AK12" s="209">
        <f t="shared" si="2"/>
        <v>5844</v>
      </c>
      <c r="AL12" s="245">
        <f t="shared" si="3"/>
        <v>1.347</v>
      </c>
      <c r="AM12" s="285"/>
      <c r="AN12" s="285"/>
      <c r="AO12" s="182"/>
      <c r="AP12" s="219">
        <f>AS9*AS10*AS11*AQ12</f>
        <v>7261.38</v>
      </c>
      <c r="AQ12" s="216">
        <v>1.8</v>
      </c>
      <c r="AR12" s="2" t="s">
        <v>117</v>
      </c>
    </row>
    <row r="13" spans="1:54" x14ac:dyDescent="0.25">
      <c r="A13" s="119">
        <v>5</v>
      </c>
      <c r="B13" s="82" t="s">
        <v>30</v>
      </c>
      <c r="C13" s="5"/>
      <c r="D13" s="5"/>
      <c r="E13" s="14" t="s">
        <v>31</v>
      </c>
      <c r="F13" s="14"/>
      <c r="G13" s="14"/>
      <c r="H13" s="14">
        <v>1</v>
      </c>
      <c r="I13" s="19">
        <f t="shared" si="9"/>
        <v>8070</v>
      </c>
      <c r="J13" s="66">
        <f t="shared" si="4"/>
        <v>8070</v>
      </c>
      <c r="K13" s="101">
        <f t="shared" si="0"/>
        <v>8070</v>
      </c>
      <c r="L13" s="87">
        <f t="shared" si="5"/>
        <v>8070</v>
      </c>
      <c r="M13" s="49">
        <v>1</v>
      </c>
      <c r="N13" s="72"/>
      <c r="O13" s="72"/>
      <c r="P13" s="72"/>
      <c r="Q13" s="90">
        <f t="shared" si="1"/>
        <v>8070</v>
      </c>
      <c r="R13" s="237"/>
      <c r="S13" s="227">
        <v>6345</v>
      </c>
      <c r="T13" s="172">
        <f t="shared" si="10"/>
        <v>6345</v>
      </c>
      <c r="U13" s="209">
        <f t="shared" si="6"/>
        <v>5108</v>
      </c>
      <c r="V13" s="172">
        <v>1921</v>
      </c>
      <c r="W13" s="232">
        <v>1.4</v>
      </c>
      <c r="X13" s="232">
        <v>1.5</v>
      </c>
      <c r="Y13" s="234">
        <v>2</v>
      </c>
      <c r="Z13" s="208">
        <f>V13*W13*X13*Y13+2</f>
        <v>8070</v>
      </c>
      <c r="AA13" s="234">
        <f t="shared" si="7"/>
        <v>48.59</v>
      </c>
      <c r="AB13" s="172"/>
      <c r="AC13" s="172"/>
      <c r="AD13" s="172"/>
      <c r="AE13" s="172"/>
      <c r="AF13" s="172"/>
      <c r="AG13" s="172"/>
      <c r="AH13" s="172"/>
      <c r="AI13" s="172">
        <f t="shared" si="8"/>
        <v>8070</v>
      </c>
      <c r="AJ13" s="286">
        <f>AI13*H13</f>
        <v>8070</v>
      </c>
      <c r="AK13" s="209">
        <f t="shared" si="2"/>
        <v>6496</v>
      </c>
      <c r="AL13" s="245">
        <f t="shared" si="3"/>
        <v>1.272</v>
      </c>
      <c r="AM13" s="285"/>
      <c r="AN13" s="285"/>
      <c r="AO13" s="182"/>
      <c r="AP13" s="219">
        <f>AS9*AS10*AS11*AQ13</f>
        <v>8068.2</v>
      </c>
      <c r="AQ13" s="216">
        <v>2</v>
      </c>
      <c r="AR13" s="2" t="s">
        <v>117</v>
      </c>
    </row>
    <row r="14" spans="1:54" x14ac:dyDescent="0.25">
      <c r="A14" s="119">
        <v>6</v>
      </c>
      <c r="B14" s="82" t="s">
        <v>157</v>
      </c>
      <c r="C14" s="5"/>
      <c r="D14" s="5"/>
      <c r="E14" s="14" t="s">
        <v>31</v>
      </c>
      <c r="F14" s="14"/>
      <c r="G14" s="14"/>
      <c r="H14" s="14">
        <v>1</v>
      </c>
      <c r="I14" s="19">
        <f>Z14</f>
        <v>7260</v>
      </c>
      <c r="J14" s="66">
        <f t="shared" si="4"/>
        <v>7260</v>
      </c>
      <c r="K14" s="101">
        <f t="shared" si="0"/>
        <v>7260</v>
      </c>
      <c r="L14" s="87">
        <f t="shared" si="5"/>
        <v>7260</v>
      </c>
      <c r="M14" s="49"/>
      <c r="N14" s="72"/>
      <c r="O14" s="72"/>
      <c r="P14" s="72"/>
      <c r="Q14" s="90"/>
      <c r="R14" s="237"/>
      <c r="S14" s="227"/>
      <c r="T14" s="172"/>
      <c r="U14" s="209"/>
      <c r="V14" s="172">
        <v>1921</v>
      </c>
      <c r="W14" s="232">
        <v>1.4</v>
      </c>
      <c r="X14" s="232">
        <v>1.5</v>
      </c>
      <c r="Y14" s="234">
        <v>1.8</v>
      </c>
      <c r="Z14" s="208">
        <f>V14*W14*X14*Y14-1</f>
        <v>7260</v>
      </c>
      <c r="AA14" s="234"/>
      <c r="AB14" s="172"/>
      <c r="AC14" s="172"/>
      <c r="AD14" s="172"/>
      <c r="AE14" s="172"/>
      <c r="AF14" s="172"/>
      <c r="AG14" s="172"/>
      <c r="AH14" s="172"/>
      <c r="AI14" s="172"/>
      <c r="AJ14" s="286"/>
      <c r="AK14" s="209"/>
      <c r="AL14" s="245"/>
      <c r="AM14" s="285"/>
      <c r="AN14" s="285"/>
      <c r="AO14" s="182"/>
      <c r="AP14" s="219"/>
      <c r="AQ14" s="216"/>
    </row>
    <row r="15" spans="1:54" x14ac:dyDescent="0.25">
      <c r="A15" s="119">
        <v>7</v>
      </c>
      <c r="B15" s="115" t="s">
        <v>16</v>
      </c>
      <c r="C15" s="7"/>
      <c r="D15" s="7"/>
      <c r="E15" s="14">
        <v>3423</v>
      </c>
      <c r="F15" s="14"/>
      <c r="G15" s="14"/>
      <c r="H15" s="14">
        <v>0.25</v>
      </c>
      <c r="I15" s="19">
        <f t="shared" si="9"/>
        <v>6860</v>
      </c>
      <c r="J15" s="66">
        <f>I15*25%</f>
        <v>1715</v>
      </c>
      <c r="K15" s="101">
        <f t="shared" si="0"/>
        <v>6860</v>
      </c>
      <c r="L15" s="87">
        <f>K15*H15</f>
        <v>1715</v>
      </c>
      <c r="M15" s="49"/>
      <c r="N15" s="72"/>
      <c r="O15" s="72"/>
      <c r="P15" s="72"/>
      <c r="Q15" s="90">
        <v>0</v>
      </c>
      <c r="R15" s="237"/>
      <c r="S15" s="227">
        <v>5390</v>
      </c>
      <c r="T15" s="172">
        <f>S15*25%-1</f>
        <v>1347</v>
      </c>
      <c r="U15" s="209">
        <f t="shared" si="6"/>
        <v>1084</v>
      </c>
      <c r="V15" s="172">
        <v>1921</v>
      </c>
      <c r="W15" s="232">
        <v>1.4</v>
      </c>
      <c r="X15" s="232">
        <v>1.5</v>
      </c>
      <c r="Y15" s="234">
        <v>1.7</v>
      </c>
      <c r="Z15" s="208">
        <f>V15*W15*X15*Y15+2</f>
        <v>6860</v>
      </c>
      <c r="AA15" s="234">
        <f t="shared" si="7"/>
        <v>41.31</v>
      </c>
      <c r="AB15" s="172"/>
      <c r="AC15" s="172"/>
      <c r="AD15" s="172"/>
      <c r="AE15" s="172"/>
      <c r="AF15" s="172"/>
      <c r="AG15" s="172"/>
      <c r="AH15" s="172"/>
      <c r="AI15" s="172">
        <v>1715</v>
      </c>
      <c r="AJ15" s="172">
        <v>1715</v>
      </c>
      <c r="AK15" s="209">
        <f t="shared" si="2"/>
        <v>1381</v>
      </c>
      <c r="AL15" s="245">
        <f t="shared" si="3"/>
        <v>1.274</v>
      </c>
      <c r="AM15" s="285"/>
      <c r="AN15" s="285"/>
      <c r="AO15" s="182"/>
      <c r="AP15" s="219">
        <f>AS9*AS10*AS11*AQ15</f>
        <v>6857.97</v>
      </c>
      <c r="AQ15" s="216">
        <v>1.7</v>
      </c>
      <c r="AR15" s="2" t="s">
        <v>117</v>
      </c>
      <c r="AS15" s="2">
        <v>1.2</v>
      </c>
      <c r="AT15" s="2" t="s">
        <v>113</v>
      </c>
    </row>
    <row r="16" spans="1:54" x14ac:dyDescent="0.25">
      <c r="A16" s="119">
        <v>8</v>
      </c>
      <c r="B16" s="84" t="s">
        <v>84</v>
      </c>
      <c r="C16" s="25"/>
      <c r="D16" s="25"/>
      <c r="E16" s="12" t="s">
        <v>32</v>
      </c>
      <c r="F16" s="15"/>
      <c r="G16" s="15"/>
      <c r="H16" s="12">
        <v>1</v>
      </c>
      <c r="I16" s="19">
        <f t="shared" si="9"/>
        <v>8070</v>
      </c>
      <c r="J16" s="88">
        <f>H16*I16</f>
        <v>8070</v>
      </c>
      <c r="K16" s="101">
        <f t="shared" si="0"/>
        <v>8070</v>
      </c>
      <c r="L16" s="87">
        <f t="shared" si="5"/>
        <v>8070</v>
      </c>
      <c r="M16" s="49">
        <v>1</v>
      </c>
      <c r="N16" s="72"/>
      <c r="O16" s="72"/>
      <c r="P16" s="72"/>
      <c r="Q16" s="90">
        <f t="shared" si="1"/>
        <v>8070</v>
      </c>
      <c r="R16" s="237"/>
      <c r="S16" s="227">
        <v>6345</v>
      </c>
      <c r="T16" s="172">
        <f>S16</f>
        <v>6345</v>
      </c>
      <c r="U16" s="209">
        <f t="shared" si="6"/>
        <v>5108</v>
      </c>
      <c r="V16" s="172">
        <v>1921</v>
      </c>
      <c r="W16" s="232">
        <v>1.4</v>
      </c>
      <c r="X16" s="232">
        <v>1.5</v>
      </c>
      <c r="Y16" s="234">
        <v>2</v>
      </c>
      <c r="Z16" s="208">
        <f>V16*W16*X16*Y16+2</f>
        <v>8070</v>
      </c>
      <c r="AA16" s="234">
        <f t="shared" si="7"/>
        <v>48.59</v>
      </c>
      <c r="AB16" s="172"/>
      <c r="AC16" s="172"/>
      <c r="AD16" s="172"/>
      <c r="AE16" s="172"/>
      <c r="AF16" s="172"/>
      <c r="AG16" s="172"/>
      <c r="AH16" s="172"/>
      <c r="AI16" s="172">
        <f t="shared" si="8"/>
        <v>8070</v>
      </c>
      <c r="AJ16" s="172">
        <f>AI16*H16</f>
        <v>8070</v>
      </c>
      <c r="AK16" s="209">
        <f t="shared" si="2"/>
        <v>6496</v>
      </c>
      <c r="AL16" s="245">
        <f t="shared" si="3"/>
        <v>1.272</v>
      </c>
      <c r="AM16" s="285"/>
      <c r="AN16" s="285"/>
      <c r="AO16" s="182"/>
      <c r="AP16" s="219">
        <f>AS9*AS10*AS11*AQ16</f>
        <v>8068.2</v>
      </c>
      <c r="AQ16" s="216">
        <v>2</v>
      </c>
      <c r="AR16" s="2" t="s">
        <v>117</v>
      </c>
      <c r="AS16" s="2">
        <v>1.3</v>
      </c>
      <c r="AT16" s="2" t="s">
        <v>114</v>
      </c>
    </row>
    <row r="17" spans="1:46" ht="16.5" thickBot="1" x14ac:dyDescent="0.3">
      <c r="A17" s="119"/>
      <c r="B17" s="105" t="s">
        <v>13</v>
      </c>
      <c r="C17" s="6"/>
      <c r="D17" s="6"/>
      <c r="E17" s="12"/>
      <c r="F17" s="12"/>
      <c r="G17" s="12"/>
      <c r="H17" s="100">
        <f>SUM(H9:H16)</f>
        <v>7.25</v>
      </c>
      <c r="I17" s="12"/>
      <c r="J17" s="113">
        <f>SUM(J9:J16)</f>
        <v>68250</v>
      </c>
      <c r="K17" s="99"/>
      <c r="L17" s="51">
        <f>L9+L10+L11+L12+L13+L15+L16</f>
        <v>60990</v>
      </c>
      <c r="M17" s="53">
        <f>SUM(M9:M16)</f>
        <v>6</v>
      </c>
      <c r="N17" s="76"/>
      <c r="O17" s="76"/>
      <c r="P17" s="76"/>
      <c r="Q17" s="74">
        <f>Q9+Q10+Q11+Q12+Q13+Q15+Q16</f>
        <v>59275</v>
      </c>
      <c r="R17" s="238"/>
      <c r="S17" s="113">
        <f t="shared" ref="S17:U17" si="12">SUM(S9:S16)</f>
        <v>49960</v>
      </c>
      <c r="T17" s="113">
        <f t="shared" si="12"/>
        <v>45917</v>
      </c>
      <c r="U17" s="113">
        <f t="shared" si="12"/>
        <v>36963</v>
      </c>
      <c r="V17" s="172"/>
      <c r="W17" s="233"/>
      <c r="X17" s="233"/>
      <c r="Y17" s="235"/>
      <c r="Z17" s="113">
        <f t="shared" ref="Z17" si="13">SUM(Z9:Z16)</f>
        <v>58900</v>
      </c>
      <c r="AA17" s="209"/>
      <c r="AB17" s="209"/>
      <c r="AC17" s="209"/>
      <c r="AD17" s="209"/>
      <c r="AE17" s="209"/>
      <c r="AF17" s="209"/>
      <c r="AG17" s="209"/>
      <c r="AH17" s="209"/>
      <c r="AI17" s="113">
        <f>SUM(AI9:AI16)-2</f>
        <v>46493</v>
      </c>
      <c r="AJ17" s="113">
        <f>SUM(AJ9:AJ16)-2</f>
        <v>59493</v>
      </c>
      <c r="AK17" s="113">
        <f t="shared" ref="AK17" si="14">SUM(AK9:AK16)</f>
        <v>47892</v>
      </c>
      <c r="AL17" s="113"/>
      <c r="AM17" s="183"/>
      <c r="AN17" s="183"/>
      <c r="AO17" s="183"/>
      <c r="AP17" s="219"/>
      <c r="AS17" s="2">
        <v>2.25</v>
      </c>
      <c r="AT17" s="2" t="s">
        <v>115</v>
      </c>
    </row>
    <row r="18" spans="1:46" x14ac:dyDescent="0.25">
      <c r="A18" s="119"/>
      <c r="B18" s="319" t="s">
        <v>103</v>
      </c>
      <c r="C18" s="320"/>
      <c r="D18" s="320"/>
      <c r="E18" s="320"/>
      <c r="F18" s="320"/>
      <c r="G18" s="320"/>
      <c r="H18" s="320"/>
      <c r="I18" s="320"/>
      <c r="J18" s="321"/>
      <c r="K18" s="102"/>
      <c r="L18" s="54"/>
      <c r="M18" s="54"/>
      <c r="N18" s="77"/>
      <c r="O18" s="77"/>
      <c r="P18" s="77"/>
      <c r="Q18" s="77"/>
      <c r="R18" s="236"/>
      <c r="S18" s="225"/>
      <c r="T18" s="16"/>
      <c r="U18" s="100"/>
      <c r="V18" s="16"/>
      <c r="W18" s="232"/>
      <c r="X18" s="232"/>
      <c r="Y18" s="234"/>
      <c r="Z18" s="207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00"/>
      <c r="AL18" s="226"/>
      <c r="AM18" s="181"/>
      <c r="AN18" s="181"/>
      <c r="AO18" s="181"/>
      <c r="AP18" s="219"/>
      <c r="AS18" s="2">
        <v>1.8</v>
      </c>
      <c r="AT18" s="2" t="s">
        <v>116</v>
      </c>
    </row>
    <row r="19" spans="1:46" x14ac:dyDescent="0.25">
      <c r="A19" s="119"/>
      <c r="B19" s="137" t="s">
        <v>107</v>
      </c>
      <c r="C19" s="104"/>
      <c r="D19" s="104"/>
      <c r="E19" s="14"/>
      <c r="F19" s="15"/>
      <c r="G19" s="15"/>
      <c r="H19" s="12"/>
      <c r="I19" s="12"/>
      <c r="J19" s="18"/>
      <c r="K19" s="103"/>
      <c r="L19" s="96"/>
      <c r="M19" s="96"/>
      <c r="N19" s="97"/>
      <c r="O19" s="97"/>
      <c r="P19" s="97"/>
      <c r="Q19" s="97"/>
      <c r="R19" s="236"/>
      <c r="S19" s="225"/>
      <c r="T19" s="16"/>
      <c r="U19" s="100"/>
      <c r="V19" s="16"/>
      <c r="W19" s="232"/>
      <c r="X19" s="232"/>
      <c r="Y19" s="234"/>
      <c r="Z19" s="207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00"/>
      <c r="AL19" s="226"/>
      <c r="AM19" s="181"/>
      <c r="AN19" s="181"/>
      <c r="AO19" s="181"/>
      <c r="AP19" s="219"/>
    </row>
    <row r="20" spans="1:46" x14ac:dyDescent="0.25">
      <c r="A20" s="120">
        <v>9</v>
      </c>
      <c r="B20" s="82" t="s">
        <v>89</v>
      </c>
      <c r="C20" s="5"/>
      <c r="D20" s="5"/>
      <c r="E20" s="14">
        <v>4211</v>
      </c>
      <c r="F20" s="14"/>
      <c r="G20" s="14"/>
      <c r="H20" s="14">
        <v>2</v>
      </c>
      <c r="I20" s="19">
        <f>Z20</f>
        <v>5245</v>
      </c>
      <c r="J20" s="66">
        <f t="shared" ref="J20" si="15">H20*I20</f>
        <v>10490</v>
      </c>
      <c r="K20" s="101">
        <f t="shared" ref="K20:K21" si="16">I20</f>
        <v>5245</v>
      </c>
      <c r="L20" s="87">
        <f t="shared" ref="L20:L21" si="17">K20*H20</f>
        <v>10490</v>
      </c>
      <c r="M20" s="49">
        <v>1</v>
      </c>
      <c r="N20" s="97"/>
      <c r="O20" s="97"/>
      <c r="P20" s="97"/>
      <c r="Q20" s="90">
        <f t="shared" ref="Q20:Q21" si="18">K20*M20+P20</f>
        <v>5245</v>
      </c>
      <c r="R20" s="237"/>
      <c r="S20" s="227">
        <v>3810</v>
      </c>
      <c r="T20" s="172">
        <f>S20</f>
        <v>3810</v>
      </c>
      <c r="U20" s="209">
        <f t="shared" ref="U20:U21" si="19">T20-(T20*19.5%)</f>
        <v>3067</v>
      </c>
      <c r="V20" s="172">
        <v>1921</v>
      </c>
      <c r="W20" s="232">
        <v>1.4</v>
      </c>
      <c r="X20" s="232">
        <v>1.5</v>
      </c>
      <c r="Y20" s="234">
        <v>1.3</v>
      </c>
      <c r="Z20" s="208">
        <f>V20*W20*X20*Y20+1</f>
        <v>5245</v>
      </c>
      <c r="AA20" s="234">
        <f t="shared" ref="AA20:AA21" si="20">Z20/166.08</f>
        <v>31.58</v>
      </c>
      <c r="AB20" s="172"/>
      <c r="AC20" s="172"/>
      <c r="AD20" s="172"/>
      <c r="AE20" s="172"/>
      <c r="AF20" s="172"/>
      <c r="AG20" s="172"/>
      <c r="AH20" s="172"/>
      <c r="AI20" s="172">
        <f>Z20</f>
        <v>5245</v>
      </c>
      <c r="AJ20" s="172">
        <f>AI20*H20</f>
        <v>10490</v>
      </c>
      <c r="AK20" s="209">
        <f>AJ20-(AJ20*19.5%)</f>
        <v>8444</v>
      </c>
      <c r="AL20" s="245">
        <f>AK20/U20</f>
        <v>2.7530000000000001</v>
      </c>
      <c r="AM20" s="285"/>
      <c r="AN20" s="285"/>
      <c r="AO20" s="182"/>
      <c r="AP20" s="219">
        <f>AS9*AS10*AS11*AS16</f>
        <v>5244.33</v>
      </c>
      <c r="AQ20" s="2">
        <v>1.2</v>
      </c>
    </row>
    <row r="21" spans="1:46" x14ac:dyDescent="0.25">
      <c r="A21" s="119">
        <v>10</v>
      </c>
      <c r="B21" s="82" t="s">
        <v>29</v>
      </c>
      <c r="C21" s="5"/>
      <c r="D21" s="5"/>
      <c r="E21" s="14">
        <v>3433</v>
      </c>
      <c r="F21" s="14"/>
      <c r="G21" s="14"/>
      <c r="H21" s="14">
        <v>1</v>
      </c>
      <c r="I21" s="19">
        <f>Z21</f>
        <v>7260</v>
      </c>
      <c r="J21" s="66">
        <f>H21*I21</f>
        <v>7260</v>
      </c>
      <c r="K21" s="101">
        <f t="shared" si="16"/>
        <v>7260</v>
      </c>
      <c r="L21" s="87">
        <f t="shared" si="17"/>
        <v>7260</v>
      </c>
      <c r="M21" s="49">
        <v>1</v>
      </c>
      <c r="N21" s="97"/>
      <c r="O21" s="97"/>
      <c r="P21" s="97"/>
      <c r="Q21" s="90">
        <f t="shared" si="18"/>
        <v>7260</v>
      </c>
      <c r="R21" s="237"/>
      <c r="S21" s="227">
        <v>5390</v>
      </c>
      <c r="T21" s="172">
        <f>S21</f>
        <v>5390</v>
      </c>
      <c r="U21" s="209">
        <f t="shared" si="19"/>
        <v>4339</v>
      </c>
      <c r="V21" s="172">
        <v>1921</v>
      </c>
      <c r="W21" s="232">
        <v>1.4</v>
      </c>
      <c r="X21" s="232">
        <v>1.5</v>
      </c>
      <c r="Y21" s="234">
        <v>1.8</v>
      </c>
      <c r="Z21" s="208">
        <f>V21*W21*X21*Y21-1</f>
        <v>7260</v>
      </c>
      <c r="AA21" s="234">
        <f t="shared" si="20"/>
        <v>43.71</v>
      </c>
      <c r="AB21" s="172"/>
      <c r="AC21" s="172"/>
      <c r="AD21" s="172"/>
      <c r="AE21" s="172"/>
      <c r="AF21" s="172"/>
      <c r="AG21" s="172"/>
      <c r="AH21" s="172"/>
      <c r="AI21" s="172">
        <f>Z21</f>
        <v>7260</v>
      </c>
      <c r="AJ21" s="286">
        <f>AI21*H21</f>
        <v>7260</v>
      </c>
      <c r="AK21" s="209">
        <f>AJ21-(AJ21*19.5%)</f>
        <v>5844</v>
      </c>
      <c r="AL21" s="245">
        <f>AK21/U21</f>
        <v>1.347</v>
      </c>
      <c r="AM21" s="285"/>
      <c r="AN21" s="285"/>
      <c r="AO21" s="182"/>
      <c r="AP21" s="219">
        <f>AS9*AS10*AS11*AQ21</f>
        <v>7261.38</v>
      </c>
      <c r="AQ21" s="2">
        <v>1.8</v>
      </c>
      <c r="AR21" s="2" t="s">
        <v>117</v>
      </c>
    </row>
    <row r="22" spans="1:46" x14ac:dyDescent="0.25">
      <c r="A22" s="119"/>
      <c r="B22" s="105" t="s">
        <v>13</v>
      </c>
      <c r="C22" s="5"/>
      <c r="D22" s="5"/>
      <c r="E22" s="14"/>
      <c r="F22" s="14"/>
      <c r="G22" s="14"/>
      <c r="H22" s="13">
        <f>SUM(H20:H21)</f>
        <v>3</v>
      </c>
      <c r="I22" s="19"/>
      <c r="J22" s="93">
        <f>SUM(J20:J21)</f>
        <v>17750</v>
      </c>
      <c r="K22" s="103"/>
      <c r="L22" s="150">
        <f>SUM(L20:L21)</f>
        <v>17750</v>
      </c>
      <c r="M22" s="150">
        <f>SUM(M20:M21)</f>
        <v>2</v>
      </c>
      <c r="N22" s="151"/>
      <c r="O22" s="152"/>
      <c r="P22" s="152"/>
      <c r="Q22" s="151">
        <f>SUM(Q20:Q21)</f>
        <v>12505</v>
      </c>
      <c r="R22" s="239"/>
      <c r="S22" s="93">
        <f t="shared" ref="S22:U22" si="21">S20+S21</f>
        <v>9200</v>
      </c>
      <c r="T22" s="93">
        <f t="shared" si="21"/>
        <v>9200</v>
      </c>
      <c r="U22" s="93">
        <f t="shared" si="21"/>
        <v>7406</v>
      </c>
      <c r="V22" s="172"/>
      <c r="W22" s="233"/>
      <c r="X22" s="233"/>
      <c r="Y22" s="235"/>
      <c r="Z22" s="93">
        <f>Z20+Z21-1</f>
        <v>12504</v>
      </c>
      <c r="AA22" s="209"/>
      <c r="AB22" s="209"/>
      <c r="AC22" s="209"/>
      <c r="AD22" s="209"/>
      <c r="AE22" s="209"/>
      <c r="AF22" s="209"/>
      <c r="AG22" s="209"/>
      <c r="AH22" s="209"/>
      <c r="AI22" s="93">
        <f>AI20+AI21-1</f>
        <v>12504</v>
      </c>
      <c r="AJ22" s="93">
        <f>AJ20+AJ21-1</f>
        <v>17749</v>
      </c>
      <c r="AK22" s="93">
        <f t="shared" ref="AK22" si="22">AK20+AK21</f>
        <v>14288</v>
      </c>
      <c r="AL22" s="113"/>
      <c r="AM22" s="183"/>
      <c r="AN22" s="183"/>
      <c r="AO22" s="183"/>
      <c r="AP22" s="219"/>
    </row>
    <row r="23" spans="1:46" x14ac:dyDescent="0.25">
      <c r="A23" s="119"/>
      <c r="B23" s="310" t="s">
        <v>65</v>
      </c>
      <c r="C23" s="311"/>
      <c r="D23" s="311"/>
      <c r="E23" s="14"/>
      <c r="F23" s="15"/>
      <c r="G23" s="15"/>
      <c r="H23" s="12"/>
      <c r="I23" s="12"/>
      <c r="J23" s="18"/>
      <c r="K23" s="103"/>
      <c r="L23" s="96"/>
      <c r="M23" s="96"/>
      <c r="N23" s="97"/>
      <c r="O23" s="97"/>
      <c r="P23" s="97"/>
      <c r="Q23" s="97"/>
      <c r="R23" s="236"/>
      <c r="S23" s="225"/>
      <c r="T23" s="16"/>
      <c r="U23" s="100"/>
      <c r="V23" s="16"/>
      <c r="W23" s="232"/>
      <c r="X23" s="232"/>
      <c r="Y23" s="234"/>
      <c r="Z23" s="207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00"/>
      <c r="AL23" s="226"/>
      <c r="AM23" s="181"/>
      <c r="AN23" s="181"/>
      <c r="AO23" s="181"/>
      <c r="AP23" s="219"/>
    </row>
    <row r="24" spans="1:46" x14ac:dyDescent="0.25">
      <c r="A24" s="119">
        <v>11</v>
      </c>
      <c r="B24" s="84" t="s">
        <v>104</v>
      </c>
      <c r="C24" s="25"/>
      <c r="D24" s="25"/>
      <c r="E24" s="12" t="s">
        <v>101</v>
      </c>
      <c r="F24" s="15"/>
      <c r="G24" s="15"/>
      <c r="H24" s="12">
        <v>1</v>
      </c>
      <c r="I24" s="19">
        <f>Z24</f>
        <v>9075</v>
      </c>
      <c r="J24" s="88">
        <f t="shared" ref="J24" si="23">H24*I24</f>
        <v>9075</v>
      </c>
      <c r="K24" s="101">
        <f t="shared" ref="K24" si="24">I24</f>
        <v>9075</v>
      </c>
      <c r="L24" s="87">
        <f t="shared" ref="L24" si="25">K24*H24</f>
        <v>9075</v>
      </c>
      <c r="M24" s="49">
        <v>1</v>
      </c>
      <c r="N24" s="97"/>
      <c r="O24" s="97"/>
      <c r="P24" s="97"/>
      <c r="Q24" s="90">
        <f>K24*M24+O24</f>
        <v>9075</v>
      </c>
      <c r="R24" s="237"/>
      <c r="S24" s="227">
        <v>7135</v>
      </c>
      <c r="T24" s="172">
        <f>S24</f>
        <v>7135</v>
      </c>
      <c r="U24" s="209">
        <f t="shared" ref="U24" si="26">T24-(T24*19.5%)</f>
        <v>5744</v>
      </c>
      <c r="V24" s="172">
        <v>1921</v>
      </c>
      <c r="W24" s="232">
        <v>1.4</v>
      </c>
      <c r="X24" s="232">
        <v>1.5</v>
      </c>
      <c r="Y24" s="234">
        <v>2.25</v>
      </c>
      <c r="Z24" s="208">
        <f>V24*W24*X24*Y24-2</f>
        <v>9075</v>
      </c>
      <c r="AA24" s="234">
        <f t="shared" ref="AA24" si="27">Z24/166.08</f>
        <v>54.64</v>
      </c>
      <c r="AB24" s="172"/>
      <c r="AC24" s="172"/>
      <c r="AD24" s="172"/>
      <c r="AE24" s="172"/>
      <c r="AF24" s="172"/>
      <c r="AG24" s="172"/>
      <c r="AH24" s="172"/>
      <c r="AI24" s="172">
        <f>Z24</f>
        <v>9075</v>
      </c>
      <c r="AJ24" s="172">
        <f>AI24*H24</f>
        <v>9075</v>
      </c>
      <c r="AK24" s="209">
        <f>AJ24-(AJ24*19.5%)</f>
        <v>7305</v>
      </c>
      <c r="AL24" s="245">
        <f>AK24/U24</f>
        <v>1.272</v>
      </c>
      <c r="AM24" s="285"/>
      <c r="AN24" s="285"/>
      <c r="AO24" s="182"/>
      <c r="AP24" s="219">
        <f>AS9*AS10*AS11*AQ24</f>
        <v>9076.7250000000004</v>
      </c>
      <c r="AQ24" s="2">
        <v>2.25</v>
      </c>
      <c r="AR24" s="2" t="s">
        <v>117</v>
      </c>
    </row>
    <row r="25" spans="1:46" x14ac:dyDescent="0.25">
      <c r="A25" s="119"/>
      <c r="B25" s="176" t="s">
        <v>34</v>
      </c>
      <c r="C25" s="25"/>
      <c r="D25" s="25"/>
      <c r="E25" s="12"/>
      <c r="F25" s="15"/>
      <c r="G25" s="15"/>
      <c r="H25" s="12"/>
      <c r="I25" s="19"/>
      <c r="J25" s="88"/>
      <c r="K25" s="103"/>
      <c r="L25" s="96"/>
      <c r="M25" s="96"/>
      <c r="N25" s="97"/>
      <c r="O25" s="97"/>
      <c r="P25" s="97"/>
      <c r="Q25" s="97"/>
      <c r="R25" s="236"/>
      <c r="S25" s="225"/>
      <c r="T25" s="16"/>
      <c r="U25" s="100"/>
      <c r="V25" s="16"/>
      <c r="W25" s="232"/>
      <c r="X25" s="232"/>
      <c r="Y25" s="234"/>
      <c r="Z25" s="207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00"/>
      <c r="AL25" s="226"/>
      <c r="AM25" s="181"/>
      <c r="AN25" s="181"/>
      <c r="AO25" s="181"/>
      <c r="AP25" s="219"/>
    </row>
    <row r="26" spans="1:46" x14ac:dyDescent="0.25">
      <c r="A26" s="119">
        <v>12</v>
      </c>
      <c r="B26" s="82" t="s">
        <v>42</v>
      </c>
      <c r="C26" s="5"/>
      <c r="D26" s="5"/>
      <c r="E26" s="12" t="s">
        <v>101</v>
      </c>
      <c r="F26" s="13"/>
      <c r="G26" s="13"/>
      <c r="H26" s="14">
        <v>1</v>
      </c>
      <c r="I26" s="19">
        <f>Z26</f>
        <v>9480</v>
      </c>
      <c r="J26" s="88">
        <f>H26*I26</f>
        <v>9480</v>
      </c>
      <c r="K26" s="101">
        <f t="shared" ref="K26" si="28">I26</f>
        <v>9480</v>
      </c>
      <c r="L26" s="87">
        <f t="shared" ref="L26" si="29">K26*H26</f>
        <v>9480</v>
      </c>
      <c r="M26" s="49">
        <v>1</v>
      </c>
      <c r="N26" s="97"/>
      <c r="O26" s="97"/>
      <c r="P26" s="97"/>
      <c r="Q26" s="90">
        <f>K26*M26+O26</f>
        <v>9480</v>
      </c>
      <c r="R26" s="237"/>
      <c r="S26" s="227">
        <v>7135</v>
      </c>
      <c r="T26" s="172">
        <f>S26+(S26*20%)</f>
        <v>8562</v>
      </c>
      <c r="U26" s="209">
        <f>T26-(T26*19.5%)</f>
        <v>6892</v>
      </c>
      <c r="V26" s="172">
        <v>1921</v>
      </c>
      <c r="W26" s="232">
        <v>1.4</v>
      </c>
      <c r="X26" s="232">
        <v>1.5</v>
      </c>
      <c r="Y26" s="234">
        <v>2.35</v>
      </c>
      <c r="Z26" s="208">
        <f>V26*W26*X26*Y26</f>
        <v>9480</v>
      </c>
      <c r="AA26" s="234">
        <f t="shared" ref="AA26" si="30">Z26/166.08</f>
        <v>57.08</v>
      </c>
      <c r="AB26" s="172"/>
      <c r="AC26" s="172"/>
      <c r="AD26" s="172"/>
      <c r="AE26" s="172"/>
      <c r="AF26" s="172"/>
      <c r="AG26" s="172"/>
      <c r="AH26" s="172"/>
      <c r="AI26" s="172">
        <f>Z26</f>
        <v>9480</v>
      </c>
      <c r="AJ26" s="286">
        <f>(AI26*H26)+AG26</f>
        <v>9480</v>
      </c>
      <c r="AK26" s="209">
        <f>AJ26-(AJ26*19.5%)</f>
        <v>7631</v>
      </c>
      <c r="AL26" s="245">
        <f>AK26/U26</f>
        <v>1.107</v>
      </c>
      <c r="AM26" s="285"/>
      <c r="AN26" s="285"/>
      <c r="AO26" s="182"/>
      <c r="AP26" s="219">
        <f>AS9*AS10*AS11*AQ26</f>
        <v>9076.7250000000004</v>
      </c>
      <c r="AQ26" s="2">
        <v>2.25</v>
      </c>
      <c r="AR26" s="2" t="s">
        <v>117</v>
      </c>
    </row>
    <row r="27" spans="1:46" x14ac:dyDescent="0.25">
      <c r="A27" s="119"/>
      <c r="B27" s="117" t="s">
        <v>118</v>
      </c>
      <c r="C27" s="5"/>
      <c r="D27" s="5"/>
      <c r="E27" s="12"/>
      <c r="F27" s="13"/>
      <c r="G27" s="13"/>
      <c r="H27" s="14"/>
      <c r="I27" s="19"/>
      <c r="J27" s="88"/>
      <c r="K27" s="103"/>
      <c r="L27" s="96"/>
      <c r="M27" s="96"/>
      <c r="N27" s="97"/>
      <c r="O27" s="97"/>
      <c r="P27" s="97"/>
      <c r="Q27" s="97"/>
      <c r="R27" s="236"/>
      <c r="S27" s="225"/>
      <c r="T27" s="16"/>
      <c r="U27" s="100"/>
      <c r="V27" s="16"/>
      <c r="W27" s="232"/>
      <c r="X27" s="232"/>
      <c r="Y27" s="234"/>
      <c r="Z27" s="207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00"/>
      <c r="AL27" s="226"/>
      <c r="AM27" s="181"/>
      <c r="AN27" s="181"/>
      <c r="AO27" s="181"/>
      <c r="AP27" s="219"/>
    </row>
    <row r="28" spans="1:46" x14ac:dyDescent="0.25">
      <c r="A28" s="119">
        <v>13</v>
      </c>
      <c r="B28" s="84" t="s">
        <v>38</v>
      </c>
      <c r="C28" s="25"/>
      <c r="D28" s="25"/>
      <c r="E28" s="12">
        <v>3115</v>
      </c>
      <c r="F28" s="15"/>
      <c r="G28" s="15"/>
      <c r="H28" s="12">
        <v>1</v>
      </c>
      <c r="I28" s="19">
        <f>Z28</f>
        <v>8070</v>
      </c>
      <c r="J28" s="88">
        <f t="shared" ref="J28:J31" si="31">H28*I28</f>
        <v>8070</v>
      </c>
      <c r="K28" s="101">
        <f t="shared" ref="K28:K31" si="32">I28</f>
        <v>8070</v>
      </c>
      <c r="L28" s="87">
        <f t="shared" ref="L28:L31" si="33">K28*H28</f>
        <v>8070</v>
      </c>
      <c r="M28" s="49">
        <v>1</v>
      </c>
      <c r="N28" s="97"/>
      <c r="O28" s="97"/>
      <c r="P28" s="97"/>
      <c r="Q28" s="90">
        <f>K28*M28+O28</f>
        <v>8070</v>
      </c>
      <c r="R28" s="237"/>
      <c r="S28" s="227">
        <v>6345</v>
      </c>
      <c r="T28" s="172">
        <f>H28*S28</f>
        <v>6345</v>
      </c>
      <c r="U28" s="209">
        <f t="shared" ref="U28:U31" si="34">T28-(T28*19.5%)</f>
        <v>5108</v>
      </c>
      <c r="V28" s="172">
        <v>1921</v>
      </c>
      <c r="W28" s="232">
        <v>1.4</v>
      </c>
      <c r="X28" s="232">
        <v>1.5</v>
      </c>
      <c r="Y28" s="234">
        <v>2</v>
      </c>
      <c r="Z28" s="208">
        <f>V28*W28*X28*Y28+2</f>
        <v>8070</v>
      </c>
      <c r="AA28" s="234">
        <f t="shared" ref="AA28:AA31" si="35">Z28/166.08</f>
        <v>48.59</v>
      </c>
      <c r="AB28" s="172"/>
      <c r="AC28" s="172"/>
      <c r="AD28" s="172"/>
      <c r="AE28" s="172"/>
      <c r="AF28" s="172"/>
      <c r="AG28" s="172"/>
      <c r="AH28" s="172"/>
      <c r="AI28" s="172">
        <f t="shared" ref="AI28:AI31" si="36">Z28</f>
        <v>8070</v>
      </c>
      <c r="AJ28" s="172">
        <f>AI28*H28</f>
        <v>8070</v>
      </c>
      <c r="AK28" s="209">
        <f>AJ28-(AJ28*19.5%)</f>
        <v>6496</v>
      </c>
      <c r="AL28" s="245">
        <f>AK28/U28</f>
        <v>1.272</v>
      </c>
      <c r="AM28" s="285"/>
      <c r="AN28" s="285"/>
      <c r="AO28" s="182"/>
      <c r="AP28" s="219">
        <f>AS9*AS10*AS11*AQ28</f>
        <v>8068.2</v>
      </c>
      <c r="AQ28" s="2">
        <v>2</v>
      </c>
      <c r="AR28" s="2" t="s">
        <v>117</v>
      </c>
    </row>
    <row r="29" spans="1:46" x14ac:dyDescent="0.25">
      <c r="A29" s="119">
        <v>14</v>
      </c>
      <c r="B29" s="84" t="s">
        <v>79</v>
      </c>
      <c r="C29" s="25"/>
      <c r="D29" s="25"/>
      <c r="E29" s="12">
        <v>9152</v>
      </c>
      <c r="F29" s="12"/>
      <c r="G29" s="12"/>
      <c r="H29" s="16">
        <v>2</v>
      </c>
      <c r="I29" s="19">
        <f>Z29</f>
        <v>4034</v>
      </c>
      <c r="J29" s="66">
        <f t="shared" si="31"/>
        <v>8068</v>
      </c>
      <c r="K29" s="101">
        <f t="shared" si="32"/>
        <v>4034</v>
      </c>
      <c r="L29" s="87">
        <f t="shared" si="33"/>
        <v>8068</v>
      </c>
      <c r="M29" s="49">
        <v>2</v>
      </c>
      <c r="N29" s="97">
        <f>L29*35%</f>
        <v>2823.8</v>
      </c>
      <c r="O29" s="97"/>
      <c r="P29" s="97"/>
      <c r="Q29" s="90">
        <f>K29*M29+N29</f>
        <v>10892</v>
      </c>
      <c r="R29" s="237"/>
      <c r="S29" s="227">
        <v>3172</v>
      </c>
      <c r="T29" s="172">
        <f>(H29*S29)+2220+1102</f>
        <v>9666</v>
      </c>
      <c r="U29" s="209">
        <f>T29-(T29*19.5%)</f>
        <v>7781</v>
      </c>
      <c r="V29" s="172">
        <v>1921</v>
      </c>
      <c r="W29" s="232">
        <v>1.4</v>
      </c>
      <c r="X29" s="232">
        <v>1.5</v>
      </c>
      <c r="Y29" s="234">
        <v>1</v>
      </c>
      <c r="Z29" s="208">
        <f t="shared" ref="Z29:Z31" si="37">V29*W29*X29*Y29</f>
        <v>4034</v>
      </c>
      <c r="AA29" s="234">
        <f t="shared" si="35"/>
        <v>24.29</v>
      </c>
      <c r="AB29" s="172">
        <f>139*2</f>
        <v>278</v>
      </c>
      <c r="AC29" s="172"/>
      <c r="AD29" s="172"/>
      <c r="AE29" s="172">
        <f>(Z29*H29)*35%</f>
        <v>2824</v>
      </c>
      <c r="AF29" s="172"/>
      <c r="AG29" s="172"/>
      <c r="AH29" s="172"/>
      <c r="AI29" s="172">
        <f t="shared" si="36"/>
        <v>4034</v>
      </c>
      <c r="AJ29" s="286">
        <f>(AI29*H29)+AE29+AB29</f>
        <v>11170</v>
      </c>
      <c r="AK29" s="209">
        <f t="shared" ref="AK29:AK31" si="38">AJ29-(AJ29*19.5%)</f>
        <v>8992</v>
      </c>
      <c r="AL29" s="245">
        <f>AK29/U29</f>
        <v>1.1559999999999999</v>
      </c>
      <c r="AM29" s="285"/>
      <c r="AN29" s="285"/>
      <c r="AO29" s="182"/>
      <c r="AP29" s="219">
        <f>AS9*AS10*AS11</f>
        <v>4034.1</v>
      </c>
      <c r="AQ29" s="2">
        <v>1</v>
      </c>
    </row>
    <row r="30" spans="1:46" x14ac:dyDescent="0.25">
      <c r="A30" s="119">
        <v>15</v>
      </c>
      <c r="B30" s="84" t="s">
        <v>33</v>
      </c>
      <c r="C30" s="25"/>
      <c r="D30" s="25"/>
      <c r="E30" s="12">
        <v>3231</v>
      </c>
      <c r="F30" s="12"/>
      <c r="G30" s="12"/>
      <c r="H30" s="16">
        <v>0.5</v>
      </c>
      <c r="I30" s="19">
        <f>Z30</f>
        <v>4841</v>
      </c>
      <c r="J30" s="66">
        <f>H30*I30</f>
        <v>2421</v>
      </c>
      <c r="K30" s="101">
        <f t="shared" si="32"/>
        <v>4841</v>
      </c>
      <c r="L30" s="87">
        <f t="shared" si="33"/>
        <v>2421</v>
      </c>
      <c r="M30" s="49">
        <v>0.5</v>
      </c>
      <c r="N30" s="97"/>
      <c r="O30" s="97"/>
      <c r="P30" s="97"/>
      <c r="Q30" s="90">
        <f>K30*M30+O30</f>
        <v>2421</v>
      </c>
      <c r="R30" s="237"/>
      <c r="S30" s="227">
        <v>3806</v>
      </c>
      <c r="T30" s="172">
        <f>S30*H30</f>
        <v>1903</v>
      </c>
      <c r="U30" s="209">
        <f t="shared" si="34"/>
        <v>1532</v>
      </c>
      <c r="V30" s="172">
        <v>1921</v>
      </c>
      <c r="W30" s="232">
        <v>1.4</v>
      </c>
      <c r="X30" s="232">
        <v>1.5</v>
      </c>
      <c r="Y30" s="234">
        <v>1.2</v>
      </c>
      <c r="Z30" s="208">
        <f t="shared" si="37"/>
        <v>4841</v>
      </c>
      <c r="AA30" s="234">
        <f t="shared" si="35"/>
        <v>29.15</v>
      </c>
      <c r="AB30" s="172"/>
      <c r="AC30" s="172"/>
      <c r="AD30" s="172"/>
      <c r="AE30" s="172"/>
      <c r="AF30" s="172"/>
      <c r="AG30" s="172"/>
      <c r="AH30" s="172"/>
      <c r="AI30" s="172">
        <f t="shared" si="36"/>
        <v>4841</v>
      </c>
      <c r="AJ30" s="172">
        <f>AI30*H30</f>
        <v>2421</v>
      </c>
      <c r="AK30" s="209">
        <f t="shared" si="38"/>
        <v>1949</v>
      </c>
      <c r="AL30" s="245">
        <f>AK30/U30</f>
        <v>1.272</v>
      </c>
      <c r="AM30" s="285"/>
      <c r="AN30" s="285"/>
      <c r="AO30" s="182"/>
      <c r="AP30" s="219">
        <f>AS9*AS10*AS11*AQ30</f>
        <v>4840.92</v>
      </c>
      <c r="AQ30" s="2">
        <v>1.2</v>
      </c>
      <c r="AR30" s="2" t="s">
        <v>117</v>
      </c>
    </row>
    <row r="31" spans="1:46" x14ac:dyDescent="0.25">
      <c r="A31" s="119">
        <v>16</v>
      </c>
      <c r="B31" s="115" t="s">
        <v>36</v>
      </c>
      <c r="C31" s="7"/>
      <c r="D31" s="7"/>
      <c r="E31" s="14">
        <v>7212</v>
      </c>
      <c r="F31" s="14" t="s">
        <v>2</v>
      </c>
      <c r="G31" s="62">
        <f>AA31</f>
        <v>37.409999999999997</v>
      </c>
      <c r="H31" s="14">
        <v>1</v>
      </c>
      <c r="I31" s="19">
        <f>Z31</f>
        <v>6213</v>
      </c>
      <c r="J31" s="66">
        <f t="shared" si="31"/>
        <v>6213</v>
      </c>
      <c r="K31" s="101">
        <f t="shared" si="32"/>
        <v>6213</v>
      </c>
      <c r="L31" s="87">
        <f t="shared" si="33"/>
        <v>6213</v>
      </c>
      <c r="M31" s="49">
        <v>1</v>
      </c>
      <c r="N31" s="97">
        <f>L31*12%</f>
        <v>745.56</v>
      </c>
      <c r="O31" s="97"/>
      <c r="P31" s="97"/>
      <c r="Q31" s="90">
        <f>K31*M31+N31</f>
        <v>6959</v>
      </c>
      <c r="R31" s="237"/>
      <c r="S31" s="227">
        <v>4884</v>
      </c>
      <c r="T31" s="172">
        <f>S31*H31+586</f>
        <v>5470</v>
      </c>
      <c r="U31" s="209">
        <f t="shared" si="34"/>
        <v>4403</v>
      </c>
      <c r="V31" s="172">
        <v>1921</v>
      </c>
      <c r="W31" s="232">
        <v>1.4</v>
      </c>
      <c r="X31" s="232">
        <v>1.5</v>
      </c>
      <c r="Y31" s="234">
        <v>1.54</v>
      </c>
      <c r="Z31" s="208">
        <f t="shared" si="37"/>
        <v>6213</v>
      </c>
      <c r="AA31" s="234">
        <f t="shared" si="35"/>
        <v>37.409999999999997</v>
      </c>
      <c r="AB31" s="172"/>
      <c r="AC31" s="172">
        <f>Z31*12%</f>
        <v>746</v>
      </c>
      <c r="AD31" s="172"/>
      <c r="AE31" s="172"/>
      <c r="AF31" s="172"/>
      <c r="AG31" s="172"/>
      <c r="AH31" s="172"/>
      <c r="AI31" s="172">
        <f t="shared" si="36"/>
        <v>6213</v>
      </c>
      <c r="AJ31" s="172">
        <f>(AI31*H31)+AC31</f>
        <v>6959</v>
      </c>
      <c r="AK31" s="209">
        <f t="shared" si="38"/>
        <v>5602</v>
      </c>
      <c r="AL31" s="245">
        <f>AK31/U31</f>
        <v>1.272</v>
      </c>
      <c r="AM31" s="285"/>
      <c r="AN31" s="285"/>
      <c r="AO31" s="182"/>
      <c r="AP31" s="219"/>
    </row>
    <row r="32" spans="1:46" x14ac:dyDescent="0.25">
      <c r="A32" s="119"/>
      <c r="B32" s="84"/>
      <c r="C32" s="25"/>
      <c r="D32" s="25"/>
      <c r="E32" s="12"/>
      <c r="F32" s="15"/>
      <c r="G32" s="15"/>
      <c r="H32" s="12"/>
      <c r="I32" s="19"/>
      <c r="J32" s="88"/>
      <c r="K32" s="103"/>
      <c r="L32" s="96"/>
      <c r="M32" s="96"/>
      <c r="N32" s="97"/>
      <c r="O32" s="97"/>
      <c r="P32" s="97"/>
      <c r="Q32" s="97"/>
      <c r="R32" s="236"/>
      <c r="S32" s="225"/>
      <c r="T32" s="16"/>
      <c r="U32" s="100"/>
      <c r="V32" s="16"/>
      <c r="W32" s="232"/>
      <c r="X32" s="232"/>
      <c r="Y32" s="234"/>
      <c r="Z32" s="207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00"/>
      <c r="AL32" s="226"/>
      <c r="AM32" s="181"/>
      <c r="AN32" s="181"/>
      <c r="AO32" s="181"/>
      <c r="AP32" s="219"/>
    </row>
    <row r="33" spans="1:52" x14ac:dyDescent="0.25">
      <c r="A33" s="119"/>
      <c r="B33" s="176" t="s">
        <v>35</v>
      </c>
      <c r="C33" s="25"/>
      <c r="D33" s="25"/>
      <c r="E33" s="12"/>
      <c r="F33" s="15"/>
      <c r="G33" s="15"/>
      <c r="H33" s="12"/>
      <c r="I33" s="19"/>
      <c r="J33" s="88"/>
      <c r="K33" s="103"/>
      <c r="L33" s="96"/>
      <c r="M33" s="96"/>
      <c r="N33" s="97"/>
      <c r="O33" s="97"/>
      <c r="P33" s="97"/>
      <c r="Q33" s="97"/>
      <c r="R33" s="236"/>
      <c r="S33" s="225"/>
      <c r="T33" s="16"/>
      <c r="U33" s="100"/>
      <c r="V33" s="16"/>
      <c r="W33" s="232"/>
      <c r="X33" s="232"/>
      <c r="Y33" s="234"/>
      <c r="Z33" s="207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00"/>
      <c r="AL33" s="226"/>
      <c r="AM33" s="181"/>
      <c r="AN33" s="181"/>
      <c r="AO33" s="181"/>
      <c r="AP33" s="219"/>
    </row>
    <row r="34" spans="1:52" ht="16.5" thickBot="1" x14ac:dyDescent="0.3">
      <c r="A34" s="119">
        <v>17</v>
      </c>
      <c r="B34" s="84" t="s">
        <v>27</v>
      </c>
      <c r="C34" s="25"/>
      <c r="D34" s="25"/>
      <c r="E34" s="14" t="s">
        <v>28</v>
      </c>
      <c r="F34" s="14"/>
      <c r="G34" s="14"/>
      <c r="H34" s="14">
        <v>1</v>
      </c>
      <c r="I34" s="19">
        <f>Z34</f>
        <v>7260</v>
      </c>
      <c r="J34" s="66">
        <f>H34*I34</f>
        <v>7260</v>
      </c>
      <c r="K34" s="101">
        <f t="shared" ref="K34:L34" si="39">I34</f>
        <v>7260</v>
      </c>
      <c r="L34" s="101">
        <f t="shared" si="39"/>
        <v>7260</v>
      </c>
      <c r="M34" s="96">
        <v>1</v>
      </c>
      <c r="N34" s="97"/>
      <c r="O34" s="97"/>
      <c r="P34" s="97"/>
      <c r="Q34" s="90">
        <f>K34*M34+N34</f>
        <v>7260</v>
      </c>
      <c r="R34" s="237"/>
      <c r="S34" s="227">
        <v>5710</v>
      </c>
      <c r="T34" s="172">
        <f>S34*H34</f>
        <v>5710</v>
      </c>
      <c r="U34" s="209">
        <f t="shared" ref="U34" si="40">T34-(T34*19.5%)</f>
        <v>4597</v>
      </c>
      <c r="V34" s="172">
        <v>1921</v>
      </c>
      <c r="W34" s="232">
        <v>1.4</v>
      </c>
      <c r="X34" s="232">
        <v>1.5</v>
      </c>
      <c r="Y34" s="234">
        <v>1.8</v>
      </c>
      <c r="Z34" s="208">
        <f>V34*W34*X34*Y34-1</f>
        <v>7260</v>
      </c>
      <c r="AA34" s="234">
        <f t="shared" ref="AA34" si="41">Z34/166.08</f>
        <v>43.71</v>
      </c>
      <c r="AB34" s="172"/>
      <c r="AC34" s="172"/>
      <c r="AD34" s="172"/>
      <c r="AE34" s="172"/>
      <c r="AF34" s="172"/>
      <c r="AG34" s="172"/>
      <c r="AH34" s="172"/>
      <c r="AI34" s="172">
        <f>Z34</f>
        <v>7260</v>
      </c>
      <c r="AJ34" s="172">
        <f>AI34*H34</f>
        <v>7260</v>
      </c>
      <c r="AK34" s="209">
        <f>AJ34-(AJ34*19.5%)</f>
        <v>5844</v>
      </c>
      <c r="AL34" s="245">
        <f>AK34/U34</f>
        <v>1.2709999999999999</v>
      </c>
      <c r="AM34" s="285"/>
      <c r="AN34" s="285"/>
      <c r="AO34" s="182"/>
      <c r="AP34" s="219">
        <f>AS9*AS10*AS11*AQ34</f>
        <v>7261.38</v>
      </c>
      <c r="AQ34" s="2">
        <v>1.8</v>
      </c>
      <c r="AR34" s="2" t="s">
        <v>117</v>
      </c>
    </row>
    <row r="35" spans="1:52" s="26" customFormat="1" ht="19.5" thickBot="1" x14ac:dyDescent="0.3">
      <c r="A35" s="124"/>
      <c r="B35" s="114" t="s">
        <v>13</v>
      </c>
      <c r="C35" s="38"/>
      <c r="D35" s="38"/>
      <c r="E35" s="30"/>
      <c r="F35" s="30"/>
      <c r="G35" s="30"/>
      <c r="H35" s="146">
        <f>H24+H26+H28+H29+H30+H31+H34</f>
        <v>7.5</v>
      </c>
      <c r="I35" s="30"/>
      <c r="J35" s="138">
        <f>J24+J26+J28+J29+J30+J31+J34</f>
        <v>50587</v>
      </c>
      <c r="K35" s="149">
        <f>K24+K26+K28+K29+K30+K31+K34</f>
        <v>48973</v>
      </c>
      <c r="L35" s="149">
        <f t="shared" ref="L35:M35" si="42">L24+L26+L28+L29+L30+L31+L34</f>
        <v>50587</v>
      </c>
      <c r="M35" s="168">
        <f t="shared" si="42"/>
        <v>7.5</v>
      </c>
      <c r="N35" s="98"/>
      <c r="O35" s="98"/>
      <c r="P35" s="98"/>
      <c r="Q35" s="210">
        <f t="shared" ref="Q35" si="43">Q24+Q26+Q28+Q29+Q30+Q31+Q34</f>
        <v>54157</v>
      </c>
      <c r="R35" s="238"/>
      <c r="S35" s="138">
        <f t="shared" ref="S35:U35" si="44">S24+S26+S28+S29+S30+S31+S34+1</f>
        <v>38188</v>
      </c>
      <c r="T35" s="138">
        <f t="shared" si="44"/>
        <v>44792</v>
      </c>
      <c r="U35" s="138">
        <f t="shared" si="44"/>
        <v>36058</v>
      </c>
      <c r="V35" s="246"/>
      <c r="W35" s="247"/>
      <c r="X35" s="247"/>
      <c r="Y35" s="146"/>
      <c r="Z35" s="138">
        <f t="shared" ref="Z35" si="45">Z24+Z26+Z28+Z29+Z30+Z31+Z34+1</f>
        <v>48974</v>
      </c>
      <c r="AA35" s="138"/>
      <c r="AB35" s="138"/>
      <c r="AC35" s="138">
        <f>AC24+AC26+AC28+AC29+AC30+AC31+AC34</f>
        <v>746</v>
      </c>
      <c r="AD35" s="138"/>
      <c r="AE35" s="138">
        <f>AE24+AE26+AE28+AE29+AE30+AE31+AE34</f>
        <v>2824</v>
      </c>
      <c r="AF35" s="138"/>
      <c r="AG35" s="138"/>
      <c r="AH35" s="138"/>
      <c r="AI35" s="138">
        <f t="shared" ref="AI35" si="46">AI24+AI26+AI28+AI29+AI30+AI31+AI34+1</f>
        <v>48974</v>
      </c>
      <c r="AJ35" s="138">
        <f>AJ24+AJ26+AJ28+AJ29+AJ30+AJ31+AJ34-1</f>
        <v>54434</v>
      </c>
      <c r="AK35" s="138">
        <f t="shared" ref="AK35" si="47">AK24+AK26+AK28+AK29+AK30+AK31+AK34+1</f>
        <v>43820</v>
      </c>
      <c r="AL35" s="94"/>
      <c r="AM35" s="183"/>
      <c r="AN35" s="183"/>
      <c r="AO35" s="183"/>
      <c r="AP35" s="220"/>
      <c r="AQ35" s="215"/>
      <c r="AR35" s="10"/>
      <c r="AS35" s="10"/>
      <c r="AT35" s="10"/>
      <c r="AU35" s="10"/>
      <c r="AV35" s="10"/>
      <c r="AW35" s="195"/>
      <c r="AX35" s="195"/>
      <c r="AY35" s="195"/>
      <c r="AZ35" s="195"/>
    </row>
    <row r="36" spans="1:52" s="26" customFormat="1" ht="19.5" thickBot="1" x14ac:dyDescent="0.3">
      <c r="A36" s="121"/>
      <c r="B36" s="116" t="s">
        <v>8</v>
      </c>
      <c r="C36" s="127"/>
      <c r="D36" s="127"/>
      <c r="E36" s="127"/>
      <c r="F36" s="128"/>
      <c r="G36" s="127"/>
      <c r="H36" s="147">
        <f>H17+H22+H35</f>
        <v>17.75</v>
      </c>
      <c r="I36" s="129"/>
      <c r="J36" s="139">
        <f>J17+J22+J35</f>
        <v>136587</v>
      </c>
      <c r="K36" s="148">
        <f t="shared" ref="K36:M36" si="48">K17+K22+K35</f>
        <v>48973</v>
      </c>
      <c r="L36" s="148">
        <f t="shared" si="48"/>
        <v>129327</v>
      </c>
      <c r="M36" s="167">
        <f t="shared" si="48"/>
        <v>15.5</v>
      </c>
      <c r="N36" s="153"/>
      <c r="O36" s="153"/>
      <c r="P36" s="153"/>
      <c r="Q36" s="211">
        <f>Q17+Q22+Q24+Q26+Q28+Q29+Q30+Q31+Q34+1</f>
        <v>125938</v>
      </c>
      <c r="R36" s="184"/>
      <c r="S36" s="255">
        <f t="shared" ref="S36:U36" si="49">S17+S22+S35</f>
        <v>97348</v>
      </c>
      <c r="T36" s="139">
        <f t="shared" si="49"/>
        <v>99909</v>
      </c>
      <c r="U36" s="139">
        <f t="shared" si="49"/>
        <v>80427</v>
      </c>
      <c r="V36" s="256"/>
      <c r="W36" s="257"/>
      <c r="X36" s="257"/>
      <c r="Y36" s="258"/>
      <c r="Z36" s="139">
        <f t="shared" ref="Z36" si="50">Z17+Z22+Z35</f>
        <v>120378</v>
      </c>
      <c r="AA36" s="259"/>
      <c r="AB36" s="259"/>
      <c r="AC36" s="139">
        <f t="shared" ref="AC36" si="51">AC17+AC22+AC35</f>
        <v>746</v>
      </c>
      <c r="AD36" s="139"/>
      <c r="AE36" s="139">
        <f t="shared" ref="AE36" si="52">AE17+AE22+AE35</f>
        <v>2824</v>
      </c>
      <c r="AF36" s="259"/>
      <c r="AG36" s="259"/>
      <c r="AH36" s="259"/>
      <c r="AI36" s="139">
        <f t="shared" ref="AI36" si="53">AI17+AI22+AI35</f>
        <v>107971</v>
      </c>
      <c r="AJ36" s="288">
        <f>AJ17+AJ22+AJ35+1</f>
        <v>131677</v>
      </c>
      <c r="AK36" s="139">
        <f t="shared" ref="AK36" si="54">AK17+AK22+AK35</f>
        <v>106000</v>
      </c>
      <c r="AL36" s="260"/>
      <c r="AM36" s="183"/>
      <c r="AN36" s="183"/>
      <c r="AO36" s="183"/>
      <c r="AP36" s="220"/>
      <c r="AQ36" s="215"/>
      <c r="AR36" s="10"/>
      <c r="AS36" s="10"/>
      <c r="AT36" s="10"/>
      <c r="AU36" s="10"/>
      <c r="AV36" s="10"/>
      <c r="AW36" s="195"/>
      <c r="AX36" s="195"/>
      <c r="AY36" s="195"/>
      <c r="AZ36" s="195"/>
    </row>
    <row r="37" spans="1:52" x14ac:dyDescent="0.25">
      <c r="A37" s="122"/>
      <c r="B37" s="106" t="s">
        <v>12</v>
      </c>
      <c r="C37" s="20"/>
      <c r="D37" s="20"/>
      <c r="E37" s="21"/>
      <c r="F37" s="21"/>
      <c r="G37" s="21"/>
      <c r="H37" s="21"/>
      <c r="I37" s="21"/>
      <c r="J37" s="65"/>
      <c r="K37" s="109"/>
      <c r="L37" s="48"/>
      <c r="M37" s="48"/>
      <c r="N37" s="71"/>
      <c r="O37" s="71"/>
      <c r="P37" s="71"/>
      <c r="Q37" s="71"/>
      <c r="R37" s="240"/>
      <c r="S37" s="248"/>
      <c r="T37" s="249"/>
      <c r="U37" s="249"/>
      <c r="V37" s="250"/>
      <c r="W37" s="251"/>
      <c r="X37" s="251"/>
      <c r="Y37" s="252"/>
      <c r="Z37" s="253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54"/>
      <c r="AM37" s="185"/>
      <c r="AN37" s="185"/>
      <c r="AO37" s="185"/>
      <c r="AP37" s="219">
        <v>1993</v>
      </c>
      <c r="AQ37" s="217">
        <f>AQ38/(AP37/12)</f>
        <v>24.29</v>
      </c>
      <c r="AR37" s="196">
        <f>AQ37*AR7</f>
        <v>26.23</v>
      </c>
      <c r="AS37" s="196">
        <f>AQ37*AS7</f>
        <v>29.15</v>
      </c>
      <c r="AT37" s="196">
        <f>AQ37*AT7</f>
        <v>32.79</v>
      </c>
      <c r="AU37" s="196">
        <f>AQ37*AU7-0.01</f>
        <v>37.4</v>
      </c>
      <c r="AV37" s="196">
        <f>AQ37*AV7-0.01</f>
        <v>43.71</v>
      </c>
    </row>
    <row r="38" spans="1:52" x14ac:dyDescent="0.25">
      <c r="A38" s="119">
        <v>18</v>
      </c>
      <c r="B38" s="82" t="s">
        <v>25</v>
      </c>
      <c r="C38" s="5"/>
      <c r="D38" s="5"/>
      <c r="E38" s="14">
        <v>9161</v>
      </c>
      <c r="F38" s="14"/>
      <c r="G38" s="14"/>
      <c r="H38" s="14">
        <v>13</v>
      </c>
      <c r="I38" s="19">
        <f>Z38</f>
        <v>4841</v>
      </c>
      <c r="J38" s="66">
        <f>H38*I38</f>
        <v>62933</v>
      </c>
      <c r="K38" s="101">
        <f>I38</f>
        <v>4841</v>
      </c>
      <c r="L38" s="87">
        <f>K38*H38</f>
        <v>62933</v>
      </c>
      <c r="M38" s="49">
        <v>12</v>
      </c>
      <c r="N38" s="72"/>
      <c r="O38" s="72"/>
      <c r="P38" s="72"/>
      <c r="Q38" s="90">
        <f>K38*M38</f>
        <v>58092</v>
      </c>
      <c r="R38" s="237"/>
      <c r="S38" s="227">
        <v>3806</v>
      </c>
      <c r="T38" s="172">
        <f>S38*11</f>
        <v>41866</v>
      </c>
      <c r="U38" s="209">
        <f t="shared" ref="U38:U39" si="55">T38-(T38*19.5%)</f>
        <v>33702</v>
      </c>
      <c r="V38" s="172">
        <v>1921</v>
      </c>
      <c r="W38" s="232">
        <v>1.4</v>
      </c>
      <c r="X38" s="232">
        <v>1.5</v>
      </c>
      <c r="Y38" s="234">
        <v>1.2</v>
      </c>
      <c r="Z38" s="208">
        <f>V38*W38*X38*Y38</f>
        <v>4841</v>
      </c>
      <c r="AA38" s="234">
        <f t="shared" ref="AA38:AA39" si="56">Z38/166.08</f>
        <v>29.15</v>
      </c>
      <c r="AB38" s="172"/>
      <c r="AC38" s="172"/>
      <c r="AD38" s="172"/>
      <c r="AE38" s="172"/>
      <c r="AF38" s="172"/>
      <c r="AG38" s="172"/>
      <c r="AH38" s="172"/>
      <c r="AI38" s="172">
        <f t="shared" ref="AI38:AI39" si="57">Z38</f>
        <v>4841</v>
      </c>
      <c r="AJ38" s="172">
        <f>AI38*11</f>
        <v>53251</v>
      </c>
      <c r="AK38" s="209">
        <f t="shared" ref="AK38:AK39" si="58">AJ38-(AJ38*19.5%)</f>
        <v>42867</v>
      </c>
      <c r="AL38" s="245">
        <f>AK38/U38</f>
        <v>1.272</v>
      </c>
      <c r="AM38" s="285"/>
      <c r="AN38" s="285"/>
      <c r="AO38" s="182"/>
      <c r="AP38" s="219">
        <f>AS9*AS10*AS11*AS15</f>
        <v>4840.92</v>
      </c>
      <c r="AQ38" s="218">
        <f>AS9*AS10*AS11</f>
        <v>4034</v>
      </c>
      <c r="AR38" s="197">
        <f>AQ38*AR7</f>
        <v>4357</v>
      </c>
      <c r="AS38" s="197">
        <f>AQ38*AS7</f>
        <v>4841</v>
      </c>
      <c r="AT38" s="197">
        <f>AQ38*AT7</f>
        <v>5446</v>
      </c>
      <c r="AU38" s="197">
        <f>AQ38*AU7-1</f>
        <v>6211</v>
      </c>
      <c r="AV38" s="197">
        <f>AQ38*AV7-2</f>
        <v>7259</v>
      </c>
    </row>
    <row r="39" spans="1:52" x14ac:dyDescent="0.25">
      <c r="A39" s="119">
        <v>19</v>
      </c>
      <c r="B39" s="82" t="s">
        <v>11</v>
      </c>
      <c r="C39" s="5"/>
      <c r="D39" s="5"/>
      <c r="E39" s="14">
        <v>9162</v>
      </c>
      <c r="F39" s="14"/>
      <c r="G39" s="14"/>
      <c r="H39" s="14">
        <v>15</v>
      </c>
      <c r="I39" s="19">
        <f>Z39</f>
        <v>4841</v>
      </c>
      <c r="J39" s="66">
        <f>H39*I39</f>
        <v>72615</v>
      </c>
      <c r="K39" s="101">
        <f>I39</f>
        <v>4841</v>
      </c>
      <c r="L39" s="87">
        <f>K39*H39</f>
        <v>72615</v>
      </c>
      <c r="M39" s="49">
        <v>13.5</v>
      </c>
      <c r="N39" s="72"/>
      <c r="O39" s="72"/>
      <c r="P39" s="72"/>
      <c r="Q39" s="90">
        <f>K39*M39</f>
        <v>65354</v>
      </c>
      <c r="R39" s="237"/>
      <c r="S39" s="227">
        <v>3806</v>
      </c>
      <c r="T39" s="172">
        <f>S39*13</f>
        <v>49478</v>
      </c>
      <c r="U39" s="209">
        <f t="shared" si="55"/>
        <v>39830</v>
      </c>
      <c r="V39" s="172">
        <v>1921</v>
      </c>
      <c r="W39" s="232">
        <v>1.4</v>
      </c>
      <c r="X39" s="232">
        <v>1.5</v>
      </c>
      <c r="Y39" s="234">
        <v>1.2</v>
      </c>
      <c r="Z39" s="208">
        <f>V39*W39*X39*Y39</f>
        <v>4841</v>
      </c>
      <c r="AA39" s="234">
        <f t="shared" si="56"/>
        <v>29.15</v>
      </c>
      <c r="AB39" s="172"/>
      <c r="AC39" s="172"/>
      <c r="AD39" s="172"/>
      <c r="AE39" s="172"/>
      <c r="AF39" s="172"/>
      <c r="AG39" s="172"/>
      <c r="AH39" s="172"/>
      <c r="AI39" s="172">
        <f t="shared" si="57"/>
        <v>4841</v>
      </c>
      <c r="AJ39" s="286">
        <f>AI39*13</f>
        <v>62933</v>
      </c>
      <c r="AK39" s="209">
        <f t="shared" si="58"/>
        <v>50661</v>
      </c>
      <c r="AL39" s="245">
        <f>AK39/U39</f>
        <v>1.272</v>
      </c>
      <c r="AM39" s="285"/>
      <c r="AN39" s="285"/>
      <c r="AO39" s="182"/>
      <c r="AP39" s="219">
        <f>AS9*AS10*AS11*AS15</f>
        <v>4840.92</v>
      </c>
    </row>
    <row r="40" spans="1:52" x14ac:dyDescent="0.25">
      <c r="A40" s="119"/>
      <c r="B40" s="117" t="s">
        <v>5</v>
      </c>
      <c r="C40" s="4"/>
      <c r="D40" s="4"/>
      <c r="E40" s="13"/>
      <c r="F40" s="13"/>
      <c r="G40" s="13"/>
      <c r="H40" s="13">
        <f>H38+H39</f>
        <v>28</v>
      </c>
      <c r="I40" s="13"/>
      <c r="J40" s="93">
        <f>J38+J39</f>
        <v>135548</v>
      </c>
      <c r="K40" s="154"/>
      <c r="L40" s="155">
        <f>L38+L39</f>
        <v>135548</v>
      </c>
      <c r="M40" s="156">
        <f>SUM(M38:M39)</f>
        <v>25.5</v>
      </c>
      <c r="N40" s="157"/>
      <c r="O40" s="157"/>
      <c r="P40" s="157"/>
      <c r="Q40" s="212">
        <f>Q38+Q39</f>
        <v>123446</v>
      </c>
      <c r="R40" s="241"/>
      <c r="S40" s="93">
        <f>S38+S39</f>
        <v>7612</v>
      </c>
      <c r="T40" s="93">
        <f t="shared" ref="T40" si="59">T38+T39</f>
        <v>91344</v>
      </c>
      <c r="U40" s="93">
        <f>U38+U39</f>
        <v>73532</v>
      </c>
      <c r="V40" s="172"/>
      <c r="W40" s="233"/>
      <c r="X40" s="233"/>
      <c r="Y40" s="235"/>
      <c r="Z40" s="93">
        <f>Z38+Z39</f>
        <v>9682</v>
      </c>
      <c r="AA40" s="209"/>
      <c r="AB40" s="209"/>
      <c r="AC40" s="209"/>
      <c r="AD40" s="209"/>
      <c r="AE40" s="209"/>
      <c r="AF40" s="209"/>
      <c r="AG40" s="209"/>
      <c r="AH40" s="209"/>
      <c r="AI40" s="93">
        <f t="shared" ref="AI40" si="60">AI38+AI39</f>
        <v>9682</v>
      </c>
      <c r="AJ40" s="289">
        <f t="shared" ref="AJ40" si="61">AJ38+AJ39</f>
        <v>116184</v>
      </c>
      <c r="AK40" s="93">
        <f t="shared" ref="AK40" si="62">AK38+AK39</f>
        <v>93528</v>
      </c>
      <c r="AL40" s="113"/>
      <c r="AM40" s="183"/>
      <c r="AN40" s="183"/>
      <c r="AO40" s="183"/>
      <c r="AP40" s="219"/>
    </row>
    <row r="41" spans="1:52" x14ac:dyDescent="0.25">
      <c r="A41" s="119"/>
      <c r="B41" s="105" t="s">
        <v>7</v>
      </c>
      <c r="C41" s="6"/>
      <c r="D41" s="6"/>
      <c r="E41" s="13"/>
      <c r="F41" s="13"/>
      <c r="G41" s="13"/>
      <c r="H41" s="13"/>
      <c r="I41" s="13"/>
      <c r="J41" s="17"/>
      <c r="K41" s="110"/>
      <c r="L41" s="50"/>
      <c r="M41" s="50"/>
      <c r="N41" s="73"/>
      <c r="O41" s="73"/>
      <c r="P41" s="73"/>
      <c r="Q41" s="73"/>
      <c r="R41" s="242"/>
      <c r="S41" s="228"/>
      <c r="T41" s="100"/>
      <c r="U41" s="100"/>
      <c r="V41" s="16"/>
      <c r="W41" s="233"/>
      <c r="X41" s="233"/>
      <c r="Y41" s="235"/>
      <c r="Z41" s="207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229"/>
      <c r="AM41" s="186"/>
      <c r="AN41" s="186"/>
      <c r="AO41" s="186"/>
      <c r="AP41" s="219"/>
    </row>
    <row r="42" spans="1:52" x14ac:dyDescent="0.25">
      <c r="A42" s="119">
        <v>20</v>
      </c>
      <c r="B42" s="82" t="s">
        <v>90</v>
      </c>
      <c r="C42" s="5" t="s">
        <v>68</v>
      </c>
      <c r="D42" s="5" t="s">
        <v>47</v>
      </c>
      <c r="E42" s="14">
        <v>8331</v>
      </c>
      <c r="F42" s="14" t="s">
        <v>21</v>
      </c>
      <c r="G42" s="62">
        <f>AA42</f>
        <v>43.72</v>
      </c>
      <c r="H42" s="14">
        <v>1</v>
      </c>
      <c r="I42" s="19">
        <f>Z42</f>
        <v>7261</v>
      </c>
      <c r="J42" s="66">
        <f>H42*I42</f>
        <v>7261</v>
      </c>
      <c r="K42" s="101">
        <f>I42</f>
        <v>7261</v>
      </c>
      <c r="L42" s="87">
        <f>K42*H42</f>
        <v>7261</v>
      </c>
      <c r="M42" s="49">
        <v>1</v>
      </c>
      <c r="N42" s="72"/>
      <c r="O42" s="72"/>
      <c r="P42" s="72"/>
      <c r="Q42" s="90">
        <f>K42*M42</f>
        <v>7261</v>
      </c>
      <c r="R42" s="237"/>
      <c r="S42" s="227">
        <v>5709</v>
      </c>
      <c r="T42" s="172">
        <f>S42*H42</f>
        <v>5709</v>
      </c>
      <c r="U42" s="209">
        <f t="shared" ref="U42:U61" si="63">T42-(T42*19.5%)</f>
        <v>4596</v>
      </c>
      <c r="V42" s="172">
        <v>1921</v>
      </c>
      <c r="W42" s="232">
        <v>1.4</v>
      </c>
      <c r="X42" s="232">
        <v>1.5</v>
      </c>
      <c r="Y42" s="234">
        <v>1.8</v>
      </c>
      <c r="Z42" s="208">
        <f>V42*W42*X42*Y42</f>
        <v>7261</v>
      </c>
      <c r="AA42" s="234">
        <f>Z42/166.08</f>
        <v>43.72</v>
      </c>
      <c r="AB42" s="172"/>
      <c r="AC42" s="172"/>
      <c r="AD42" s="172"/>
      <c r="AE42" s="172"/>
      <c r="AF42" s="172"/>
      <c r="AG42" s="172"/>
      <c r="AH42" s="172"/>
      <c r="AI42" s="172">
        <f t="shared" ref="AI42:AI60" si="64">Z42</f>
        <v>7261</v>
      </c>
      <c r="AJ42" s="172">
        <f t="shared" ref="AJ42:AJ47" si="65">AI42*H42</f>
        <v>7261</v>
      </c>
      <c r="AK42" s="209">
        <f t="shared" ref="AK42:AK61" si="66">AJ42-(AJ42*19.5%)</f>
        <v>5845</v>
      </c>
      <c r="AL42" s="245">
        <f t="shared" ref="AL42:AL47" si="67">AK42/U42</f>
        <v>1.272</v>
      </c>
      <c r="AM42" s="285"/>
      <c r="AN42" s="285"/>
      <c r="AO42" s="182"/>
      <c r="AP42" s="219"/>
    </row>
    <row r="43" spans="1:52" s="11" customFormat="1" ht="24" customHeight="1" x14ac:dyDescent="0.25">
      <c r="A43" s="123">
        <v>21</v>
      </c>
      <c r="B43" s="118" t="s">
        <v>91</v>
      </c>
      <c r="C43" s="79" t="s">
        <v>77</v>
      </c>
      <c r="D43" s="79" t="s">
        <v>44</v>
      </c>
      <c r="E43" s="16">
        <v>8334</v>
      </c>
      <c r="F43" s="16" t="s">
        <v>21</v>
      </c>
      <c r="G43" s="62">
        <f t="shared" ref="G43:G59" si="68">AA43</f>
        <v>43.72</v>
      </c>
      <c r="H43" s="16">
        <v>1</v>
      </c>
      <c r="I43" s="19">
        <f t="shared" ref="I43:I61" si="69">Z43</f>
        <v>7261</v>
      </c>
      <c r="J43" s="66">
        <f t="shared" ref="J43:J61" si="70">H43*I43</f>
        <v>7261</v>
      </c>
      <c r="K43" s="101">
        <f t="shared" ref="K43:K48" si="71">I43</f>
        <v>7261</v>
      </c>
      <c r="L43" s="87">
        <f t="shared" ref="L43:L61" si="72">K43*H43</f>
        <v>7261</v>
      </c>
      <c r="M43" s="49">
        <v>1</v>
      </c>
      <c r="N43" s="72"/>
      <c r="O43" s="72"/>
      <c r="P43" s="72"/>
      <c r="Q43" s="90">
        <f t="shared" ref="Q43:Q48" si="73">K43*M43</f>
        <v>7261</v>
      </c>
      <c r="R43" s="237"/>
      <c r="S43" s="227">
        <v>5709</v>
      </c>
      <c r="T43" s="172">
        <f t="shared" ref="T43:T60" si="74">S43*H43</f>
        <v>5709</v>
      </c>
      <c r="U43" s="209">
        <f t="shared" si="63"/>
        <v>4596</v>
      </c>
      <c r="V43" s="172">
        <v>1921</v>
      </c>
      <c r="W43" s="232">
        <v>1.4</v>
      </c>
      <c r="X43" s="232">
        <v>1.5</v>
      </c>
      <c r="Y43" s="234">
        <v>1.8</v>
      </c>
      <c r="Z43" s="208">
        <f t="shared" ref="Z43:Z61" si="75">V43*W43*X43*Y43</f>
        <v>7261</v>
      </c>
      <c r="AA43" s="234">
        <f t="shared" ref="AA43:AA61" si="76">Z43/166.08</f>
        <v>43.72</v>
      </c>
      <c r="AB43" s="172"/>
      <c r="AC43" s="172"/>
      <c r="AD43" s="172"/>
      <c r="AE43" s="172"/>
      <c r="AF43" s="172"/>
      <c r="AG43" s="172"/>
      <c r="AH43" s="172"/>
      <c r="AI43" s="172">
        <f t="shared" si="64"/>
        <v>7261</v>
      </c>
      <c r="AJ43" s="172">
        <f t="shared" si="65"/>
        <v>7261</v>
      </c>
      <c r="AK43" s="209">
        <f t="shared" si="66"/>
        <v>5845</v>
      </c>
      <c r="AL43" s="245">
        <f t="shared" si="67"/>
        <v>1.272</v>
      </c>
      <c r="AM43" s="285"/>
      <c r="AN43" s="285"/>
      <c r="AO43" s="182"/>
      <c r="AP43" s="221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</row>
    <row r="44" spans="1:52" s="11" customFormat="1" x14ac:dyDescent="0.25">
      <c r="A44" s="119">
        <v>22</v>
      </c>
      <c r="B44" s="82" t="s">
        <v>90</v>
      </c>
      <c r="C44" s="7" t="s">
        <v>67</v>
      </c>
      <c r="D44" s="7" t="s">
        <v>97</v>
      </c>
      <c r="E44" s="14">
        <v>8331</v>
      </c>
      <c r="F44" s="14" t="s">
        <v>2</v>
      </c>
      <c r="G44" s="62">
        <f t="shared" si="68"/>
        <v>37.409999999999997</v>
      </c>
      <c r="H44" s="14">
        <v>1</v>
      </c>
      <c r="I44" s="19">
        <f t="shared" si="69"/>
        <v>6213</v>
      </c>
      <c r="J44" s="66">
        <f t="shared" si="70"/>
        <v>6213</v>
      </c>
      <c r="K44" s="101">
        <f t="shared" si="71"/>
        <v>6213</v>
      </c>
      <c r="L44" s="87">
        <f t="shared" si="72"/>
        <v>6213</v>
      </c>
      <c r="M44" s="49">
        <v>1</v>
      </c>
      <c r="N44" s="72"/>
      <c r="O44" s="72"/>
      <c r="P44" s="72"/>
      <c r="Q44" s="90">
        <f t="shared" si="73"/>
        <v>6213</v>
      </c>
      <c r="R44" s="237"/>
      <c r="S44" s="227">
        <v>4884</v>
      </c>
      <c r="T44" s="172">
        <f t="shared" si="74"/>
        <v>4884</v>
      </c>
      <c r="U44" s="209">
        <f t="shared" si="63"/>
        <v>3932</v>
      </c>
      <c r="V44" s="172">
        <v>1921</v>
      </c>
      <c r="W44" s="232">
        <v>1.4</v>
      </c>
      <c r="X44" s="232">
        <v>1.5</v>
      </c>
      <c r="Y44" s="234">
        <v>1.54</v>
      </c>
      <c r="Z44" s="208">
        <f t="shared" si="75"/>
        <v>6213</v>
      </c>
      <c r="AA44" s="234">
        <f t="shared" si="76"/>
        <v>37.409999999999997</v>
      </c>
      <c r="AB44" s="172"/>
      <c r="AC44" s="172"/>
      <c r="AD44" s="172"/>
      <c r="AE44" s="172"/>
      <c r="AF44" s="172"/>
      <c r="AG44" s="172"/>
      <c r="AH44" s="172"/>
      <c r="AI44" s="172">
        <f t="shared" si="64"/>
        <v>6213</v>
      </c>
      <c r="AJ44" s="172">
        <f t="shared" si="65"/>
        <v>6213</v>
      </c>
      <c r="AK44" s="209">
        <f t="shared" si="66"/>
        <v>5001</v>
      </c>
      <c r="AL44" s="245">
        <f t="shared" si="67"/>
        <v>1.272</v>
      </c>
      <c r="AM44" s="285"/>
      <c r="AN44" s="285"/>
      <c r="AO44" s="182"/>
      <c r="AP44" s="221"/>
      <c r="AQ44" s="198"/>
      <c r="AR44" s="199"/>
      <c r="AS44" s="199"/>
      <c r="AT44" s="199"/>
      <c r="AU44" s="199"/>
      <c r="AV44" s="199"/>
      <c r="AW44" s="199"/>
      <c r="AX44" s="199"/>
      <c r="AY44" s="199"/>
      <c r="AZ44" s="199"/>
    </row>
    <row r="45" spans="1:52" s="11" customFormat="1" x14ac:dyDescent="0.25">
      <c r="A45" s="123">
        <v>23</v>
      </c>
      <c r="B45" s="115" t="s">
        <v>98</v>
      </c>
      <c r="C45" s="7" t="s">
        <v>69</v>
      </c>
      <c r="D45" s="7" t="s">
        <v>81</v>
      </c>
      <c r="E45" s="14">
        <v>8332</v>
      </c>
      <c r="F45" s="14" t="s">
        <v>2</v>
      </c>
      <c r="G45" s="62">
        <f t="shared" si="68"/>
        <v>37.409999999999997</v>
      </c>
      <c r="H45" s="14">
        <v>1</v>
      </c>
      <c r="I45" s="19">
        <f t="shared" si="69"/>
        <v>6213</v>
      </c>
      <c r="J45" s="66">
        <f t="shared" si="70"/>
        <v>6213</v>
      </c>
      <c r="K45" s="101">
        <f t="shared" si="71"/>
        <v>6213</v>
      </c>
      <c r="L45" s="87">
        <f t="shared" si="72"/>
        <v>6213</v>
      </c>
      <c r="M45" s="49">
        <v>1</v>
      </c>
      <c r="N45" s="72"/>
      <c r="O45" s="72"/>
      <c r="P45" s="72"/>
      <c r="Q45" s="90">
        <f t="shared" si="73"/>
        <v>6213</v>
      </c>
      <c r="R45" s="237"/>
      <c r="S45" s="227">
        <v>4884</v>
      </c>
      <c r="T45" s="172">
        <f t="shared" si="74"/>
        <v>4884</v>
      </c>
      <c r="U45" s="209">
        <f t="shared" si="63"/>
        <v>3932</v>
      </c>
      <c r="V45" s="172">
        <v>1921</v>
      </c>
      <c r="W45" s="232">
        <v>1.4</v>
      </c>
      <c r="X45" s="232">
        <v>1.5</v>
      </c>
      <c r="Y45" s="234">
        <v>1.54</v>
      </c>
      <c r="Z45" s="208">
        <f t="shared" si="75"/>
        <v>6213</v>
      </c>
      <c r="AA45" s="234">
        <f t="shared" si="76"/>
        <v>37.409999999999997</v>
      </c>
      <c r="AB45" s="172"/>
      <c r="AC45" s="172"/>
      <c r="AD45" s="172"/>
      <c r="AE45" s="172"/>
      <c r="AF45" s="172"/>
      <c r="AG45" s="172"/>
      <c r="AH45" s="172"/>
      <c r="AI45" s="172">
        <f t="shared" si="64"/>
        <v>6213</v>
      </c>
      <c r="AJ45" s="172">
        <f t="shared" si="65"/>
        <v>6213</v>
      </c>
      <c r="AK45" s="209">
        <f t="shared" si="66"/>
        <v>5001</v>
      </c>
      <c r="AL45" s="245">
        <f t="shared" si="67"/>
        <v>1.272</v>
      </c>
      <c r="AM45" s="285"/>
      <c r="AN45" s="285"/>
      <c r="AO45" s="182"/>
      <c r="AP45" s="221"/>
      <c r="AQ45" s="198"/>
      <c r="AR45" s="199"/>
      <c r="AS45" s="199"/>
      <c r="AT45" s="199"/>
      <c r="AU45" s="199"/>
      <c r="AV45" s="199"/>
      <c r="AW45" s="199"/>
      <c r="AX45" s="199"/>
      <c r="AY45" s="199"/>
      <c r="AZ45" s="199"/>
    </row>
    <row r="46" spans="1:52" x14ac:dyDescent="0.25">
      <c r="A46" s="119">
        <v>24</v>
      </c>
      <c r="B46" s="82" t="s">
        <v>90</v>
      </c>
      <c r="C46" s="7"/>
      <c r="D46" s="7" t="s">
        <v>96</v>
      </c>
      <c r="E46" s="14">
        <v>8331</v>
      </c>
      <c r="F46" s="14" t="s">
        <v>4</v>
      </c>
      <c r="G46" s="62">
        <f t="shared" si="68"/>
        <v>32.79</v>
      </c>
      <c r="H46" s="14">
        <v>1</v>
      </c>
      <c r="I46" s="19">
        <f t="shared" si="69"/>
        <v>5446</v>
      </c>
      <c r="J46" s="66">
        <f t="shared" si="70"/>
        <v>5446</v>
      </c>
      <c r="K46" s="101">
        <f t="shared" si="71"/>
        <v>5446</v>
      </c>
      <c r="L46" s="87">
        <f t="shared" si="72"/>
        <v>5446</v>
      </c>
      <c r="M46" s="49">
        <v>0</v>
      </c>
      <c r="N46" s="72"/>
      <c r="O46" s="72"/>
      <c r="P46" s="72"/>
      <c r="Q46" s="90">
        <v>6060</v>
      </c>
      <c r="R46" s="237"/>
      <c r="S46" s="227">
        <v>4282</v>
      </c>
      <c r="T46" s="172">
        <f t="shared" si="74"/>
        <v>4282</v>
      </c>
      <c r="U46" s="209">
        <f t="shared" si="63"/>
        <v>3447</v>
      </c>
      <c r="V46" s="172">
        <v>1921</v>
      </c>
      <c r="W46" s="232">
        <v>1.4</v>
      </c>
      <c r="X46" s="232">
        <v>1.5</v>
      </c>
      <c r="Y46" s="234">
        <v>1.35</v>
      </c>
      <c r="Z46" s="208">
        <f t="shared" si="75"/>
        <v>5446</v>
      </c>
      <c r="AA46" s="234">
        <f t="shared" si="76"/>
        <v>32.79</v>
      </c>
      <c r="AB46" s="172"/>
      <c r="AC46" s="172"/>
      <c r="AD46" s="172"/>
      <c r="AE46" s="172"/>
      <c r="AF46" s="172"/>
      <c r="AG46" s="172"/>
      <c r="AH46" s="172"/>
      <c r="AI46" s="172">
        <f t="shared" si="64"/>
        <v>5446</v>
      </c>
      <c r="AJ46" s="172">
        <f t="shared" si="65"/>
        <v>5446</v>
      </c>
      <c r="AK46" s="209">
        <f t="shared" si="66"/>
        <v>4384</v>
      </c>
      <c r="AL46" s="245">
        <f t="shared" si="67"/>
        <v>1.272</v>
      </c>
      <c r="AM46" s="285"/>
      <c r="AN46" s="285"/>
      <c r="AO46" s="182"/>
      <c r="AP46" s="219"/>
      <c r="AQ46" s="190"/>
    </row>
    <row r="47" spans="1:52" x14ac:dyDescent="0.25">
      <c r="A47" s="123">
        <v>25</v>
      </c>
      <c r="B47" s="82" t="s">
        <v>90</v>
      </c>
      <c r="C47" s="7"/>
      <c r="D47" s="7" t="s">
        <v>48</v>
      </c>
      <c r="E47" s="14">
        <v>8331</v>
      </c>
      <c r="F47" s="14" t="s">
        <v>4</v>
      </c>
      <c r="G47" s="62">
        <f t="shared" si="68"/>
        <v>32.79</v>
      </c>
      <c r="H47" s="14">
        <v>1</v>
      </c>
      <c r="I47" s="19">
        <f t="shared" si="69"/>
        <v>5446</v>
      </c>
      <c r="J47" s="66">
        <f t="shared" si="70"/>
        <v>5446</v>
      </c>
      <c r="K47" s="101">
        <f t="shared" si="71"/>
        <v>5446</v>
      </c>
      <c r="L47" s="87">
        <f t="shared" si="72"/>
        <v>5446</v>
      </c>
      <c r="M47" s="49">
        <v>1</v>
      </c>
      <c r="N47" s="72"/>
      <c r="O47" s="72"/>
      <c r="P47" s="72"/>
      <c r="Q47" s="90">
        <f>K47*M47</f>
        <v>5446</v>
      </c>
      <c r="R47" s="237"/>
      <c r="S47" s="227">
        <v>4282</v>
      </c>
      <c r="T47" s="172">
        <f t="shared" si="74"/>
        <v>4282</v>
      </c>
      <c r="U47" s="209">
        <f t="shared" si="63"/>
        <v>3447</v>
      </c>
      <c r="V47" s="172">
        <v>1921</v>
      </c>
      <c r="W47" s="232">
        <v>1.4</v>
      </c>
      <c r="X47" s="232">
        <v>1.5</v>
      </c>
      <c r="Y47" s="234">
        <v>1.35</v>
      </c>
      <c r="Z47" s="208">
        <f t="shared" si="75"/>
        <v>5446</v>
      </c>
      <c r="AA47" s="234">
        <f t="shared" si="76"/>
        <v>32.79</v>
      </c>
      <c r="AB47" s="172"/>
      <c r="AC47" s="172"/>
      <c r="AD47" s="172"/>
      <c r="AE47" s="172"/>
      <c r="AF47" s="172"/>
      <c r="AG47" s="172"/>
      <c r="AH47" s="172"/>
      <c r="AI47" s="172">
        <f t="shared" si="64"/>
        <v>5446</v>
      </c>
      <c r="AJ47" s="172">
        <f t="shared" si="65"/>
        <v>5446</v>
      </c>
      <c r="AK47" s="209">
        <f t="shared" si="66"/>
        <v>4384</v>
      </c>
      <c r="AL47" s="245">
        <f t="shared" si="67"/>
        <v>1.272</v>
      </c>
      <c r="AM47" s="285"/>
      <c r="AN47" s="285"/>
      <c r="AO47" s="182"/>
      <c r="AP47" s="219"/>
      <c r="AQ47" s="190"/>
    </row>
    <row r="48" spans="1:52" x14ac:dyDescent="0.25">
      <c r="A48" s="119">
        <v>26</v>
      </c>
      <c r="B48" s="82" t="s">
        <v>90</v>
      </c>
      <c r="C48" s="7"/>
      <c r="D48" s="7" t="s">
        <v>64</v>
      </c>
      <c r="E48" s="14">
        <v>8331</v>
      </c>
      <c r="F48" s="14" t="s">
        <v>4</v>
      </c>
      <c r="G48" s="62">
        <f t="shared" si="68"/>
        <v>32.79</v>
      </c>
      <c r="H48" s="14">
        <v>1</v>
      </c>
      <c r="I48" s="19">
        <f t="shared" si="69"/>
        <v>5446</v>
      </c>
      <c r="J48" s="66">
        <f t="shared" si="70"/>
        <v>5446</v>
      </c>
      <c r="K48" s="101">
        <f t="shared" si="71"/>
        <v>5446</v>
      </c>
      <c r="L48" s="87">
        <f t="shared" si="72"/>
        <v>5446</v>
      </c>
      <c r="M48" s="49">
        <v>0</v>
      </c>
      <c r="N48" s="72"/>
      <c r="O48" s="72"/>
      <c r="P48" s="72"/>
      <c r="Q48" s="90">
        <f t="shared" si="73"/>
        <v>0</v>
      </c>
      <c r="R48" s="237"/>
      <c r="S48" s="227"/>
      <c r="T48" s="172"/>
      <c r="U48" s="209">
        <f t="shared" si="63"/>
        <v>0</v>
      </c>
      <c r="V48" s="172">
        <v>1921</v>
      </c>
      <c r="W48" s="232">
        <v>1.4</v>
      </c>
      <c r="X48" s="232">
        <v>1.5</v>
      </c>
      <c r="Y48" s="234">
        <v>1.35</v>
      </c>
      <c r="Z48" s="208">
        <f t="shared" si="75"/>
        <v>5446</v>
      </c>
      <c r="AA48" s="234">
        <f t="shared" si="76"/>
        <v>32.79</v>
      </c>
      <c r="AB48" s="172"/>
      <c r="AC48" s="172"/>
      <c r="AD48" s="172"/>
      <c r="AE48" s="172"/>
      <c r="AF48" s="172"/>
      <c r="AG48" s="172"/>
      <c r="AH48" s="172"/>
      <c r="AI48" s="172"/>
      <c r="AJ48" s="172"/>
      <c r="AK48" s="209">
        <f t="shared" si="66"/>
        <v>0</v>
      </c>
      <c r="AL48" s="245"/>
      <c r="AM48" s="285"/>
      <c r="AN48" s="285"/>
      <c r="AO48" s="182"/>
      <c r="AP48" s="219"/>
      <c r="AQ48" s="190"/>
    </row>
    <row r="49" spans="1:43" x14ac:dyDescent="0.25">
      <c r="A49" s="123">
        <v>27</v>
      </c>
      <c r="B49" s="82" t="s">
        <v>90</v>
      </c>
      <c r="C49" s="7" t="s">
        <v>70</v>
      </c>
      <c r="D49" s="7" t="s">
        <v>49</v>
      </c>
      <c r="E49" s="14">
        <v>8331</v>
      </c>
      <c r="F49" s="14" t="s">
        <v>4</v>
      </c>
      <c r="G49" s="62">
        <f t="shared" si="68"/>
        <v>32.79</v>
      </c>
      <c r="H49" s="14">
        <v>1</v>
      </c>
      <c r="I49" s="19">
        <f t="shared" si="69"/>
        <v>5446</v>
      </c>
      <c r="J49" s="66">
        <f>H49*I49</f>
        <v>5446</v>
      </c>
      <c r="K49" s="101">
        <f>I49</f>
        <v>5446</v>
      </c>
      <c r="L49" s="87">
        <f t="shared" si="72"/>
        <v>5446</v>
      </c>
      <c r="M49" s="49">
        <v>1</v>
      </c>
      <c r="N49" s="72"/>
      <c r="O49" s="72"/>
      <c r="P49" s="72"/>
      <c r="Q49" s="90"/>
      <c r="R49" s="237"/>
      <c r="S49" s="227"/>
      <c r="T49" s="172"/>
      <c r="U49" s="209">
        <f t="shared" si="63"/>
        <v>0</v>
      </c>
      <c r="V49" s="172">
        <v>1921</v>
      </c>
      <c r="W49" s="232">
        <v>1.4</v>
      </c>
      <c r="X49" s="232">
        <v>1.5</v>
      </c>
      <c r="Y49" s="234">
        <v>1.35</v>
      </c>
      <c r="Z49" s="208">
        <f t="shared" si="75"/>
        <v>5446</v>
      </c>
      <c r="AA49" s="234">
        <f t="shared" si="76"/>
        <v>32.79</v>
      </c>
      <c r="AB49" s="172"/>
      <c r="AC49" s="172"/>
      <c r="AD49" s="172"/>
      <c r="AE49" s="172"/>
      <c r="AF49" s="172"/>
      <c r="AG49" s="172"/>
      <c r="AH49" s="172"/>
      <c r="AI49" s="172"/>
      <c r="AJ49" s="172"/>
      <c r="AK49" s="209">
        <f t="shared" si="66"/>
        <v>0</v>
      </c>
      <c r="AL49" s="245"/>
      <c r="AM49" s="285"/>
      <c r="AN49" s="285"/>
      <c r="AO49" s="182"/>
      <c r="AP49" s="219"/>
      <c r="AQ49" s="190"/>
    </row>
    <row r="50" spans="1:43" x14ac:dyDescent="0.25">
      <c r="A50" s="119">
        <v>28</v>
      </c>
      <c r="B50" s="115" t="s">
        <v>99</v>
      </c>
      <c r="C50" s="7" t="s">
        <v>69</v>
      </c>
      <c r="D50" s="7" t="s">
        <v>82</v>
      </c>
      <c r="E50" s="14">
        <v>8111</v>
      </c>
      <c r="F50" s="14" t="s">
        <v>2</v>
      </c>
      <c r="G50" s="62">
        <f t="shared" si="68"/>
        <v>37.409999999999997</v>
      </c>
      <c r="H50" s="14">
        <v>1</v>
      </c>
      <c r="I50" s="19">
        <f t="shared" si="69"/>
        <v>6213</v>
      </c>
      <c r="J50" s="66">
        <f>H50*I50</f>
        <v>6213</v>
      </c>
      <c r="K50" s="101">
        <f t="shared" ref="K50:K51" si="77">I50</f>
        <v>6213</v>
      </c>
      <c r="L50" s="87">
        <f t="shared" si="72"/>
        <v>6213</v>
      </c>
      <c r="M50" s="49">
        <v>1</v>
      </c>
      <c r="N50" s="72"/>
      <c r="O50" s="72"/>
      <c r="P50" s="72"/>
      <c r="Q50" s="90"/>
      <c r="R50" s="237"/>
      <c r="S50" s="227"/>
      <c r="T50" s="172"/>
      <c r="U50" s="209">
        <f t="shared" si="63"/>
        <v>0</v>
      </c>
      <c r="V50" s="172">
        <v>1921</v>
      </c>
      <c r="W50" s="232">
        <v>1.4</v>
      </c>
      <c r="X50" s="232">
        <v>1.5</v>
      </c>
      <c r="Y50" s="234">
        <v>1.54</v>
      </c>
      <c r="Z50" s="208">
        <f t="shared" si="75"/>
        <v>6213</v>
      </c>
      <c r="AA50" s="234">
        <f t="shared" si="76"/>
        <v>37.409999999999997</v>
      </c>
      <c r="AB50" s="172"/>
      <c r="AC50" s="172"/>
      <c r="AD50" s="172"/>
      <c r="AE50" s="172"/>
      <c r="AF50" s="172"/>
      <c r="AG50" s="172"/>
      <c r="AH50" s="172"/>
      <c r="AI50" s="172"/>
      <c r="AJ50" s="172"/>
      <c r="AK50" s="209">
        <f t="shared" si="66"/>
        <v>0</v>
      </c>
      <c r="AL50" s="245"/>
      <c r="AM50" s="285"/>
      <c r="AN50" s="285"/>
      <c r="AO50" s="182"/>
      <c r="AP50" s="219"/>
      <c r="AQ50" s="190"/>
    </row>
    <row r="51" spans="1:43" ht="31.5" x14ac:dyDescent="0.25">
      <c r="A51" s="123">
        <v>29</v>
      </c>
      <c r="B51" s="82" t="s">
        <v>87</v>
      </c>
      <c r="C51" s="140"/>
      <c r="D51" s="141" t="s">
        <v>109</v>
      </c>
      <c r="E51" s="142">
        <v>8333</v>
      </c>
      <c r="F51" s="14" t="s">
        <v>21</v>
      </c>
      <c r="G51" s="62">
        <f t="shared" si="68"/>
        <v>43.72</v>
      </c>
      <c r="H51" s="142">
        <v>1</v>
      </c>
      <c r="I51" s="19">
        <f t="shared" si="69"/>
        <v>7261</v>
      </c>
      <c r="J51" s="145">
        <f>H51*I51</f>
        <v>7261</v>
      </c>
      <c r="K51" s="101">
        <f t="shared" si="77"/>
        <v>7261</v>
      </c>
      <c r="L51" s="87">
        <f t="shared" si="72"/>
        <v>7261</v>
      </c>
      <c r="M51" s="49">
        <v>1</v>
      </c>
      <c r="N51" s="72"/>
      <c r="O51" s="72"/>
      <c r="P51" s="72"/>
      <c r="Q51" s="90">
        <f>K51*M51</f>
        <v>7261</v>
      </c>
      <c r="R51" s="237"/>
      <c r="S51" s="227">
        <v>5709</v>
      </c>
      <c r="T51" s="172">
        <f t="shared" si="74"/>
        <v>5709</v>
      </c>
      <c r="U51" s="209">
        <f t="shared" si="63"/>
        <v>4596</v>
      </c>
      <c r="V51" s="172">
        <v>1921</v>
      </c>
      <c r="W51" s="232">
        <v>1.4</v>
      </c>
      <c r="X51" s="232">
        <v>1.5</v>
      </c>
      <c r="Y51" s="234">
        <v>1.8</v>
      </c>
      <c r="Z51" s="208">
        <f t="shared" si="75"/>
        <v>7261</v>
      </c>
      <c r="AA51" s="234">
        <f t="shared" si="76"/>
        <v>43.72</v>
      </c>
      <c r="AB51" s="172"/>
      <c r="AC51" s="172"/>
      <c r="AD51" s="172"/>
      <c r="AE51" s="172"/>
      <c r="AF51" s="172"/>
      <c r="AG51" s="172"/>
      <c r="AH51" s="172"/>
      <c r="AI51" s="172">
        <f t="shared" si="64"/>
        <v>7261</v>
      </c>
      <c r="AJ51" s="172">
        <f>AI51*H51</f>
        <v>7261</v>
      </c>
      <c r="AK51" s="209">
        <f t="shared" si="66"/>
        <v>5845</v>
      </c>
      <c r="AL51" s="245">
        <f t="shared" ref="AL51:AL58" si="78">AK51/U51</f>
        <v>1.272</v>
      </c>
      <c r="AM51" s="285"/>
      <c r="AN51" s="285"/>
      <c r="AO51" s="182"/>
      <c r="AP51" s="219"/>
      <c r="AQ51" s="190"/>
    </row>
    <row r="52" spans="1:43" ht="31.5" x14ac:dyDescent="0.25">
      <c r="A52" s="119">
        <v>30</v>
      </c>
      <c r="B52" s="115" t="s">
        <v>94</v>
      </c>
      <c r="C52" s="7" t="s">
        <v>71</v>
      </c>
      <c r="D52" s="7" t="s">
        <v>50</v>
      </c>
      <c r="E52" s="14">
        <v>8322</v>
      </c>
      <c r="F52" s="14" t="s">
        <v>4</v>
      </c>
      <c r="G52" s="62">
        <f t="shared" si="68"/>
        <v>32.79</v>
      </c>
      <c r="H52" s="14">
        <v>1</v>
      </c>
      <c r="I52" s="19">
        <f t="shared" si="69"/>
        <v>5446</v>
      </c>
      <c r="J52" s="66">
        <f t="shared" si="70"/>
        <v>5446</v>
      </c>
      <c r="K52" s="101">
        <f>I52</f>
        <v>5446</v>
      </c>
      <c r="L52" s="87">
        <f>H52*K52</f>
        <v>5446</v>
      </c>
      <c r="M52" s="49">
        <v>1</v>
      </c>
      <c r="N52" s="72"/>
      <c r="O52" s="72">
        <v>25</v>
      </c>
      <c r="P52" s="90">
        <f>L52*O52%</f>
        <v>1362</v>
      </c>
      <c r="Q52" s="90">
        <f>K52*M52+P52</f>
        <v>6808</v>
      </c>
      <c r="R52" s="237"/>
      <c r="S52" s="227">
        <v>4282</v>
      </c>
      <c r="T52" s="172">
        <f>(S52*H52)+(S52*25%)</f>
        <v>5353</v>
      </c>
      <c r="U52" s="209">
        <f t="shared" si="63"/>
        <v>4309</v>
      </c>
      <c r="V52" s="172">
        <v>1921</v>
      </c>
      <c r="W52" s="232">
        <v>1.4</v>
      </c>
      <c r="X52" s="232">
        <v>1.5</v>
      </c>
      <c r="Y52" s="234">
        <v>1.35</v>
      </c>
      <c r="Z52" s="208">
        <f t="shared" si="75"/>
        <v>5446</v>
      </c>
      <c r="AA52" s="234">
        <f t="shared" si="76"/>
        <v>32.79</v>
      </c>
      <c r="AB52" s="172"/>
      <c r="AC52" s="172"/>
      <c r="AD52" s="172">
        <f>Z52*25%</f>
        <v>1362</v>
      </c>
      <c r="AE52" s="172"/>
      <c r="AF52" s="172"/>
      <c r="AG52" s="172"/>
      <c r="AH52" s="172"/>
      <c r="AI52" s="172">
        <f t="shared" si="64"/>
        <v>5446</v>
      </c>
      <c r="AJ52" s="172">
        <f>(AI52*H52)+AD52</f>
        <v>6808</v>
      </c>
      <c r="AK52" s="209">
        <f t="shared" si="66"/>
        <v>5480</v>
      </c>
      <c r="AL52" s="245">
        <f t="shared" si="78"/>
        <v>1.272</v>
      </c>
      <c r="AM52" s="285"/>
      <c r="AN52" s="285"/>
      <c r="AO52" s="182"/>
      <c r="AP52" s="222"/>
      <c r="AQ52" s="190"/>
    </row>
    <row r="53" spans="1:43" ht="31.5" x14ac:dyDescent="0.25">
      <c r="A53" s="123">
        <v>31</v>
      </c>
      <c r="B53" s="115" t="s">
        <v>94</v>
      </c>
      <c r="C53" s="7" t="s">
        <v>72</v>
      </c>
      <c r="D53" s="7" t="s">
        <v>51</v>
      </c>
      <c r="E53" s="14">
        <v>8322</v>
      </c>
      <c r="F53" s="14" t="s">
        <v>4</v>
      </c>
      <c r="G53" s="62">
        <v>32.79</v>
      </c>
      <c r="H53" s="14">
        <v>1</v>
      </c>
      <c r="I53" s="19">
        <f t="shared" si="69"/>
        <v>4841</v>
      </c>
      <c r="J53" s="66">
        <f>G53*166.08</f>
        <v>5446</v>
      </c>
      <c r="K53" s="101">
        <f>I53</f>
        <v>4841</v>
      </c>
      <c r="L53" s="87">
        <f t="shared" si="72"/>
        <v>4841</v>
      </c>
      <c r="M53" s="49">
        <v>1</v>
      </c>
      <c r="N53" s="72"/>
      <c r="O53" s="72">
        <v>25</v>
      </c>
      <c r="P53" s="90">
        <f>J53*25%</f>
        <v>1362</v>
      </c>
      <c r="Q53" s="90">
        <f t="shared" ref="Q53:Q60" si="79">K53*M53+P53</f>
        <v>6203</v>
      </c>
      <c r="R53" s="237"/>
      <c r="S53" s="227">
        <v>3806</v>
      </c>
      <c r="T53" s="172">
        <f>(S53*H53)+S53*25%</f>
        <v>4758</v>
      </c>
      <c r="U53" s="209">
        <f t="shared" si="63"/>
        <v>3830</v>
      </c>
      <c r="V53" s="172">
        <v>1921</v>
      </c>
      <c r="W53" s="232">
        <v>1.4</v>
      </c>
      <c r="X53" s="232">
        <v>1.5</v>
      </c>
      <c r="Y53" s="234">
        <v>1.2</v>
      </c>
      <c r="Z53" s="208">
        <f t="shared" si="75"/>
        <v>4841</v>
      </c>
      <c r="AA53" s="234">
        <f t="shared" si="76"/>
        <v>29.15</v>
      </c>
      <c r="AB53" s="172"/>
      <c r="AC53" s="172"/>
      <c r="AD53" s="172">
        <f>Z53*25%</f>
        <v>1210</v>
      </c>
      <c r="AE53" s="172"/>
      <c r="AF53" s="172"/>
      <c r="AG53" s="172"/>
      <c r="AH53" s="172"/>
      <c r="AI53" s="172">
        <f t="shared" si="64"/>
        <v>4841</v>
      </c>
      <c r="AJ53" s="172">
        <f>AI53*H53+AD53</f>
        <v>6051</v>
      </c>
      <c r="AK53" s="209">
        <f t="shared" si="66"/>
        <v>4871</v>
      </c>
      <c r="AL53" s="245">
        <f t="shared" si="78"/>
        <v>1.272</v>
      </c>
      <c r="AM53" s="285"/>
      <c r="AN53" s="285"/>
      <c r="AO53" s="182"/>
      <c r="AP53" s="219"/>
      <c r="AQ53" s="190"/>
    </row>
    <row r="54" spans="1:43" ht="31.5" x14ac:dyDescent="0.25">
      <c r="A54" s="119">
        <v>32</v>
      </c>
      <c r="B54" s="115" t="s">
        <v>94</v>
      </c>
      <c r="C54" s="7" t="s">
        <v>73</v>
      </c>
      <c r="D54" s="7" t="s">
        <v>52</v>
      </c>
      <c r="E54" s="14">
        <v>8322</v>
      </c>
      <c r="F54" s="14" t="s">
        <v>2</v>
      </c>
      <c r="G54" s="62">
        <f t="shared" si="68"/>
        <v>37.409999999999997</v>
      </c>
      <c r="H54" s="14">
        <v>1</v>
      </c>
      <c r="I54" s="19">
        <f t="shared" si="69"/>
        <v>6213</v>
      </c>
      <c r="J54" s="66">
        <f t="shared" si="70"/>
        <v>6213</v>
      </c>
      <c r="K54" s="101">
        <f>I54</f>
        <v>6213</v>
      </c>
      <c r="L54" s="87">
        <f t="shared" si="72"/>
        <v>6213</v>
      </c>
      <c r="M54" s="49">
        <v>1</v>
      </c>
      <c r="N54" s="72"/>
      <c r="O54" s="72"/>
      <c r="P54" s="90">
        <f>L54*O54%</f>
        <v>0</v>
      </c>
      <c r="Q54" s="90">
        <f t="shared" si="79"/>
        <v>6213</v>
      </c>
      <c r="R54" s="237"/>
      <c r="S54" s="227">
        <v>4282</v>
      </c>
      <c r="T54" s="172">
        <f t="shared" si="74"/>
        <v>4282</v>
      </c>
      <c r="U54" s="209">
        <f t="shared" si="63"/>
        <v>3447</v>
      </c>
      <c r="V54" s="172">
        <v>1921</v>
      </c>
      <c r="W54" s="232">
        <v>1.4</v>
      </c>
      <c r="X54" s="232">
        <v>1.5</v>
      </c>
      <c r="Y54" s="234">
        <v>1.54</v>
      </c>
      <c r="Z54" s="208">
        <f t="shared" si="75"/>
        <v>6213</v>
      </c>
      <c r="AA54" s="234">
        <f t="shared" si="76"/>
        <v>37.409999999999997</v>
      </c>
      <c r="AB54" s="172"/>
      <c r="AC54" s="172"/>
      <c r="AD54" s="172"/>
      <c r="AE54" s="172"/>
      <c r="AF54" s="172"/>
      <c r="AG54" s="172"/>
      <c r="AH54" s="172"/>
      <c r="AI54" s="172">
        <f t="shared" si="64"/>
        <v>6213</v>
      </c>
      <c r="AJ54" s="172">
        <f>AI54*H54</f>
        <v>6213</v>
      </c>
      <c r="AK54" s="209">
        <f t="shared" si="66"/>
        <v>5001</v>
      </c>
      <c r="AL54" s="245">
        <f t="shared" si="78"/>
        <v>1.4510000000000001</v>
      </c>
      <c r="AM54" s="285"/>
      <c r="AN54" s="285"/>
      <c r="AO54" s="182"/>
      <c r="AP54" s="219"/>
      <c r="AQ54" s="190"/>
    </row>
    <row r="55" spans="1:43" ht="31.5" x14ac:dyDescent="0.25">
      <c r="A55" s="123">
        <v>33</v>
      </c>
      <c r="B55" s="115" t="s">
        <v>95</v>
      </c>
      <c r="C55" s="7" t="s">
        <v>74</v>
      </c>
      <c r="D55" s="7" t="s">
        <v>56</v>
      </c>
      <c r="E55" s="14">
        <v>8322</v>
      </c>
      <c r="F55" s="14" t="s">
        <v>2</v>
      </c>
      <c r="G55" s="62">
        <f t="shared" si="68"/>
        <v>37.409999999999997</v>
      </c>
      <c r="H55" s="14">
        <v>1</v>
      </c>
      <c r="I55" s="19">
        <f t="shared" si="69"/>
        <v>6213</v>
      </c>
      <c r="J55" s="66">
        <f t="shared" si="70"/>
        <v>6213</v>
      </c>
      <c r="K55" s="101">
        <f t="shared" ref="K55:K61" si="80">I55</f>
        <v>6213</v>
      </c>
      <c r="L55" s="87">
        <f t="shared" si="72"/>
        <v>6213</v>
      </c>
      <c r="M55" s="49">
        <v>1</v>
      </c>
      <c r="N55" s="72"/>
      <c r="O55" s="72"/>
      <c r="P55" s="72"/>
      <c r="Q55" s="90">
        <f t="shared" si="79"/>
        <v>6213</v>
      </c>
      <c r="R55" s="237"/>
      <c r="S55" s="227">
        <v>4282</v>
      </c>
      <c r="T55" s="172">
        <f t="shared" si="74"/>
        <v>4282</v>
      </c>
      <c r="U55" s="209">
        <f t="shared" si="63"/>
        <v>3447</v>
      </c>
      <c r="V55" s="172">
        <v>1921</v>
      </c>
      <c r="W55" s="232">
        <v>1.4</v>
      </c>
      <c r="X55" s="232">
        <v>1.5</v>
      </c>
      <c r="Y55" s="234">
        <v>1.54</v>
      </c>
      <c r="Z55" s="208">
        <f t="shared" si="75"/>
        <v>6213</v>
      </c>
      <c r="AA55" s="234">
        <f t="shared" si="76"/>
        <v>37.409999999999997</v>
      </c>
      <c r="AB55" s="172"/>
      <c r="AC55" s="172"/>
      <c r="AD55" s="172"/>
      <c r="AE55" s="172"/>
      <c r="AF55" s="172"/>
      <c r="AG55" s="172"/>
      <c r="AH55" s="172"/>
      <c r="AI55" s="172">
        <f t="shared" si="64"/>
        <v>6213</v>
      </c>
      <c r="AJ55" s="172">
        <f>AI55*H55</f>
        <v>6213</v>
      </c>
      <c r="AK55" s="209">
        <f t="shared" si="66"/>
        <v>5001</v>
      </c>
      <c r="AL55" s="245">
        <f t="shared" si="78"/>
        <v>1.4510000000000001</v>
      </c>
      <c r="AM55" s="285"/>
      <c r="AN55" s="285"/>
      <c r="AO55" s="182"/>
      <c r="AP55" s="219"/>
      <c r="AQ55" s="190"/>
    </row>
    <row r="56" spans="1:43" ht="31.5" x14ac:dyDescent="0.25">
      <c r="A56" s="119">
        <v>34</v>
      </c>
      <c r="B56" s="115" t="s">
        <v>92</v>
      </c>
      <c r="C56" s="7" t="s">
        <v>75</v>
      </c>
      <c r="D56" s="7" t="s">
        <v>55</v>
      </c>
      <c r="E56" s="14">
        <v>8322</v>
      </c>
      <c r="F56" s="14" t="s">
        <v>2</v>
      </c>
      <c r="G56" s="62">
        <f t="shared" si="68"/>
        <v>37.409999999999997</v>
      </c>
      <c r="H56" s="14">
        <v>2</v>
      </c>
      <c r="I56" s="19">
        <f t="shared" si="69"/>
        <v>6213</v>
      </c>
      <c r="J56" s="66">
        <f>H56*I56</f>
        <v>12426</v>
      </c>
      <c r="K56" s="101">
        <f t="shared" si="80"/>
        <v>6213</v>
      </c>
      <c r="L56" s="87">
        <f>K56*H56+1</f>
        <v>12427</v>
      </c>
      <c r="M56" s="49">
        <v>1</v>
      </c>
      <c r="N56" s="72"/>
      <c r="O56" s="72" t="s">
        <v>124</v>
      </c>
      <c r="P56" s="90">
        <f>I60*25%+K56*25%</f>
        <v>2764</v>
      </c>
      <c r="Q56" s="90">
        <f>K56*M56+P56</f>
        <v>8977</v>
      </c>
      <c r="R56" s="237"/>
      <c r="S56" s="227">
        <v>4884</v>
      </c>
      <c r="T56" s="172">
        <f>S56+(S56*25%)+(S60*25%)</f>
        <v>7057</v>
      </c>
      <c r="U56" s="209">
        <f t="shared" si="63"/>
        <v>5681</v>
      </c>
      <c r="V56" s="172">
        <v>1921</v>
      </c>
      <c r="W56" s="232">
        <v>1.4</v>
      </c>
      <c r="X56" s="232">
        <v>1.5</v>
      </c>
      <c r="Y56" s="234">
        <v>1.54</v>
      </c>
      <c r="Z56" s="208">
        <f t="shared" si="75"/>
        <v>6213</v>
      </c>
      <c r="AA56" s="234">
        <f t="shared" si="76"/>
        <v>37.409999999999997</v>
      </c>
      <c r="AB56" s="172"/>
      <c r="AC56" s="172"/>
      <c r="AD56" s="172">
        <f>(Z56*25%)</f>
        <v>1553</v>
      </c>
      <c r="AE56" s="172"/>
      <c r="AF56" s="172"/>
      <c r="AG56" s="172"/>
      <c r="AH56" s="172">
        <f>Z60*25%</f>
        <v>1210</v>
      </c>
      <c r="AI56" s="172">
        <f t="shared" si="64"/>
        <v>6213</v>
      </c>
      <c r="AJ56" s="172">
        <f>Z56+AD56+AH56</f>
        <v>8976</v>
      </c>
      <c r="AK56" s="209">
        <f t="shared" si="66"/>
        <v>7226</v>
      </c>
      <c r="AL56" s="245">
        <f t="shared" si="78"/>
        <v>1.272</v>
      </c>
      <c r="AM56" s="285"/>
      <c r="AN56" s="285"/>
      <c r="AO56" s="182"/>
      <c r="AP56" s="219"/>
    </row>
    <row r="57" spans="1:43" ht="31.5" x14ac:dyDescent="0.25">
      <c r="A57" s="123">
        <v>35</v>
      </c>
      <c r="B57" s="115" t="s">
        <v>94</v>
      </c>
      <c r="C57" s="7" t="s">
        <v>76</v>
      </c>
      <c r="D57" s="7" t="s">
        <v>53</v>
      </c>
      <c r="E57" s="14">
        <v>8322</v>
      </c>
      <c r="F57" s="14" t="s">
        <v>2</v>
      </c>
      <c r="G57" s="62">
        <f t="shared" si="68"/>
        <v>37.409999999999997</v>
      </c>
      <c r="H57" s="14">
        <v>1</v>
      </c>
      <c r="I57" s="19">
        <f t="shared" si="69"/>
        <v>6213</v>
      </c>
      <c r="J57" s="66">
        <f t="shared" si="70"/>
        <v>6213</v>
      </c>
      <c r="K57" s="101">
        <f t="shared" si="80"/>
        <v>6213</v>
      </c>
      <c r="L57" s="87">
        <f t="shared" si="72"/>
        <v>6213</v>
      </c>
      <c r="M57" s="49">
        <v>1</v>
      </c>
      <c r="N57" s="72"/>
      <c r="O57" s="72">
        <v>25</v>
      </c>
      <c r="P57" s="90">
        <f>L57*25%</f>
        <v>1553</v>
      </c>
      <c r="Q57" s="90">
        <f>K57*M57+P57</f>
        <v>7766</v>
      </c>
      <c r="R57" s="237"/>
      <c r="S57" s="227">
        <v>4884</v>
      </c>
      <c r="T57" s="172">
        <f>(S57*H57)+(S57*25%)</f>
        <v>6105</v>
      </c>
      <c r="U57" s="209">
        <f t="shared" si="63"/>
        <v>4915</v>
      </c>
      <c r="V57" s="172">
        <v>1921</v>
      </c>
      <c r="W57" s="232">
        <v>1.4</v>
      </c>
      <c r="X57" s="232">
        <v>1.5</v>
      </c>
      <c r="Y57" s="234">
        <v>1.54</v>
      </c>
      <c r="Z57" s="208">
        <f t="shared" si="75"/>
        <v>6213</v>
      </c>
      <c r="AA57" s="234">
        <f t="shared" si="76"/>
        <v>37.409999999999997</v>
      </c>
      <c r="AB57" s="172"/>
      <c r="AC57" s="172"/>
      <c r="AD57" s="172">
        <f>Z57*25%</f>
        <v>1553</v>
      </c>
      <c r="AE57" s="172"/>
      <c r="AF57" s="172"/>
      <c r="AG57" s="172"/>
      <c r="AH57" s="172"/>
      <c r="AI57" s="172">
        <f t="shared" si="64"/>
        <v>6213</v>
      </c>
      <c r="AJ57" s="172">
        <f>AI57*H57+AD57</f>
        <v>7766</v>
      </c>
      <c r="AK57" s="209">
        <f t="shared" si="66"/>
        <v>6252</v>
      </c>
      <c r="AL57" s="245">
        <f t="shared" si="78"/>
        <v>1.272</v>
      </c>
      <c r="AM57" s="285"/>
      <c r="AN57" s="285"/>
      <c r="AO57" s="182"/>
      <c r="AP57" s="219"/>
    </row>
    <row r="58" spans="1:43" ht="31.5" x14ac:dyDescent="0.25">
      <c r="A58" s="119">
        <v>36</v>
      </c>
      <c r="B58" s="115" t="s">
        <v>92</v>
      </c>
      <c r="C58" s="7"/>
      <c r="D58" s="7" t="s">
        <v>85</v>
      </c>
      <c r="E58" s="14">
        <v>8322</v>
      </c>
      <c r="F58" s="14" t="s">
        <v>21</v>
      </c>
      <c r="G58" s="62">
        <f t="shared" si="68"/>
        <v>43.72</v>
      </c>
      <c r="H58" s="14">
        <v>1</v>
      </c>
      <c r="I58" s="19">
        <f t="shared" si="69"/>
        <v>7261</v>
      </c>
      <c r="J58" s="66">
        <f>I58</f>
        <v>7261</v>
      </c>
      <c r="K58" s="101">
        <f t="shared" si="80"/>
        <v>7261</v>
      </c>
      <c r="L58" s="87">
        <f t="shared" si="72"/>
        <v>7261</v>
      </c>
      <c r="M58" s="49">
        <v>1</v>
      </c>
      <c r="N58" s="72"/>
      <c r="O58" s="72" t="s">
        <v>125</v>
      </c>
      <c r="P58" s="90">
        <f>I60*25%+K58*10%</f>
        <v>1936</v>
      </c>
      <c r="Q58" s="90">
        <f>L58+P58</f>
        <v>9197</v>
      </c>
      <c r="R58" s="237"/>
      <c r="S58" s="227">
        <v>5709</v>
      </c>
      <c r="T58" s="172">
        <f>(S58*H58)+(S58*10%)+(S60*30%)</f>
        <v>7422</v>
      </c>
      <c r="U58" s="209">
        <f t="shared" si="63"/>
        <v>5975</v>
      </c>
      <c r="V58" s="172">
        <v>1921</v>
      </c>
      <c r="W58" s="232">
        <v>1.4</v>
      </c>
      <c r="X58" s="232">
        <v>1.5</v>
      </c>
      <c r="Y58" s="234">
        <v>1.8</v>
      </c>
      <c r="Z58" s="208">
        <f t="shared" si="75"/>
        <v>7261</v>
      </c>
      <c r="AA58" s="234">
        <f t="shared" si="76"/>
        <v>43.72</v>
      </c>
      <c r="AB58" s="172"/>
      <c r="AC58" s="172"/>
      <c r="AD58" s="172">
        <f>Z58*10%</f>
        <v>726</v>
      </c>
      <c r="AE58" s="172"/>
      <c r="AF58" s="172"/>
      <c r="AG58" s="172"/>
      <c r="AH58" s="172">
        <f>Z60*30%</f>
        <v>1452</v>
      </c>
      <c r="AI58" s="172">
        <f t="shared" si="64"/>
        <v>7261</v>
      </c>
      <c r="AJ58" s="172">
        <f>AI58*H58+AD58+AH58</f>
        <v>9439</v>
      </c>
      <c r="AK58" s="209">
        <f t="shared" si="66"/>
        <v>7598</v>
      </c>
      <c r="AL58" s="245">
        <f t="shared" si="78"/>
        <v>1.272</v>
      </c>
      <c r="AM58" s="285"/>
      <c r="AN58" s="285"/>
      <c r="AO58" s="182"/>
      <c r="AP58" s="219"/>
    </row>
    <row r="59" spans="1:43" ht="31.5" x14ac:dyDescent="0.25">
      <c r="A59" s="123">
        <v>37</v>
      </c>
      <c r="B59" s="115" t="s">
        <v>93</v>
      </c>
      <c r="C59" s="7"/>
      <c r="D59" s="7" t="s">
        <v>83</v>
      </c>
      <c r="E59" s="14">
        <v>8322</v>
      </c>
      <c r="F59" s="14" t="s">
        <v>4</v>
      </c>
      <c r="G59" s="62">
        <f t="shared" si="68"/>
        <v>32.79</v>
      </c>
      <c r="H59" s="14">
        <v>1</v>
      </c>
      <c r="I59" s="19">
        <f t="shared" si="69"/>
        <v>5446</v>
      </c>
      <c r="J59" s="66">
        <f>H59*I59</f>
        <v>5446</v>
      </c>
      <c r="K59" s="101">
        <f t="shared" si="80"/>
        <v>5446</v>
      </c>
      <c r="L59" s="87">
        <f t="shared" si="72"/>
        <v>5446</v>
      </c>
      <c r="M59" s="49">
        <v>1</v>
      </c>
      <c r="N59" s="72"/>
      <c r="O59" s="72"/>
      <c r="P59" s="90"/>
      <c r="Q59" s="90"/>
      <c r="R59" s="237"/>
      <c r="S59" s="227"/>
      <c r="T59" s="172"/>
      <c r="U59" s="209">
        <f t="shared" si="63"/>
        <v>0</v>
      </c>
      <c r="V59" s="172">
        <v>1921</v>
      </c>
      <c r="W59" s="232">
        <v>1.4</v>
      </c>
      <c r="X59" s="232">
        <v>1.5</v>
      </c>
      <c r="Y59" s="234">
        <v>1.35</v>
      </c>
      <c r="Z59" s="208">
        <f t="shared" si="75"/>
        <v>5446</v>
      </c>
      <c r="AA59" s="234">
        <f t="shared" si="76"/>
        <v>32.79</v>
      </c>
      <c r="AB59" s="172"/>
      <c r="AC59" s="172"/>
      <c r="AD59" s="172"/>
      <c r="AE59" s="172"/>
      <c r="AF59" s="172"/>
      <c r="AG59" s="172"/>
      <c r="AH59" s="172"/>
      <c r="AI59" s="172"/>
      <c r="AJ59" s="172"/>
      <c r="AK59" s="209">
        <f t="shared" si="66"/>
        <v>0</v>
      </c>
      <c r="AL59" s="245"/>
      <c r="AM59" s="285"/>
      <c r="AN59" s="285"/>
      <c r="AO59" s="182"/>
      <c r="AP59" s="219"/>
    </row>
    <row r="60" spans="1:43" x14ac:dyDescent="0.25">
      <c r="A60" s="119">
        <v>38</v>
      </c>
      <c r="B60" s="115" t="s">
        <v>26</v>
      </c>
      <c r="C60" s="7"/>
      <c r="D60" s="7"/>
      <c r="E60" s="14">
        <v>8142</v>
      </c>
      <c r="F60" s="14"/>
      <c r="G60" s="14"/>
      <c r="H60" s="14">
        <v>2</v>
      </c>
      <c r="I60" s="19">
        <f t="shared" si="69"/>
        <v>4841</v>
      </c>
      <c r="J60" s="66">
        <f t="shared" si="70"/>
        <v>9682</v>
      </c>
      <c r="K60" s="101">
        <f t="shared" si="80"/>
        <v>4841</v>
      </c>
      <c r="L60" s="87">
        <f t="shared" si="72"/>
        <v>9682</v>
      </c>
      <c r="M60" s="49">
        <v>1</v>
      </c>
      <c r="N60" s="72"/>
      <c r="O60" s="72"/>
      <c r="P60" s="72"/>
      <c r="Q60" s="90">
        <f t="shared" si="79"/>
        <v>4841</v>
      </c>
      <c r="R60" s="237"/>
      <c r="S60" s="227">
        <v>3806</v>
      </c>
      <c r="T60" s="172">
        <f t="shared" si="74"/>
        <v>7612</v>
      </c>
      <c r="U60" s="209">
        <f t="shared" si="63"/>
        <v>6128</v>
      </c>
      <c r="V60" s="172">
        <v>1921</v>
      </c>
      <c r="W60" s="232">
        <v>1.4</v>
      </c>
      <c r="X60" s="232">
        <v>1.5</v>
      </c>
      <c r="Y60" s="234">
        <v>1.2</v>
      </c>
      <c r="Z60" s="208">
        <f t="shared" si="75"/>
        <v>4841</v>
      </c>
      <c r="AA60" s="234">
        <f t="shared" si="76"/>
        <v>29.15</v>
      </c>
      <c r="AB60" s="172"/>
      <c r="AC60" s="172"/>
      <c r="AD60" s="172"/>
      <c r="AE60" s="172"/>
      <c r="AF60" s="172"/>
      <c r="AG60" s="172"/>
      <c r="AH60" s="172"/>
      <c r="AI60" s="172">
        <f t="shared" si="64"/>
        <v>4841</v>
      </c>
      <c r="AJ60" s="172">
        <f>AI60*H60</f>
        <v>9682</v>
      </c>
      <c r="AK60" s="209">
        <f t="shared" si="66"/>
        <v>7794</v>
      </c>
      <c r="AL60" s="245">
        <f>AK60/U60</f>
        <v>1.272</v>
      </c>
      <c r="AM60" s="285"/>
      <c r="AN60" s="285"/>
      <c r="AO60" s="182"/>
      <c r="AP60" s="219"/>
    </row>
    <row r="61" spans="1:43" ht="16.5" thickBot="1" x14ac:dyDescent="0.3">
      <c r="A61" s="123">
        <v>39</v>
      </c>
      <c r="B61" s="84" t="s">
        <v>79</v>
      </c>
      <c r="C61" s="25"/>
      <c r="D61" s="25"/>
      <c r="E61" s="12">
        <v>9152</v>
      </c>
      <c r="F61" s="12"/>
      <c r="G61" s="12"/>
      <c r="H61" s="16">
        <v>2</v>
      </c>
      <c r="I61" s="19">
        <f t="shared" si="69"/>
        <v>4034</v>
      </c>
      <c r="J61" s="66">
        <f t="shared" si="70"/>
        <v>8068</v>
      </c>
      <c r="K61" s="101">
        <f t="shared" si="80"/>
        <v>4034</v>
      </c>
      <c r="L61" s="87">
        <f t="shared" si="72"/>
        <v>8068</v>
      </c>
      <c r="M61" s="49">
        <v>2</v>
      </c>
      <c r="N61" s="72"/>
      <c r="O61" s="72"/>
      <c r="P61" s="72"/>
      <c r="Q61" s="90"/>
      <c r="R61" s="237"/>
      <c r="S61" s="272"/>
      <c r="T61" s="246"/>
      <c r="U61" s="138">
        <f t="shared" si="63"/>
        <v>0</v>
      </c>
      <c r="V61" s="246">
        <v>1921</v>
      </c>
      <c r="W61" s="273">
        <v>1.4</v>
      </c>
      <c r="X61" s="273">
        <v>1.5</v>
      </c>
      <c r="Y61" s="274">
        <v>1</v>
      </c>
      <c r="Z61" s="263">
        <f t="shared" si="75"/>
        <v>4034</v>
      </c>
      <c r="AA61" s="274">
        <f t="shared" si="76"/>
        <v>24.29</v>
      </c>
      <c r="AB61" s="246"/>
      <c r="AC61" s="246"/>
      <c r="AD61" s="246"/>
      <c r="AE61" s="246"/>
      <c r="AF61" s="246"/>
      <c r="AG61" s="246"/>
      <c r="AH61" s="246"/>
      <c r="AI61" s="246"/>
      <c r="AJ61" s="246"/>
      <c r="AK61" s="138">
        <f t="shared" si="66"/>
        <v>0</v>
      </c>
      <c r="AL61" s="275"/>
      <c r="AM61" s="285"/>
      <c r="AN61" s="285"/>
      <c r="AO61" s="182"/>
      <c r="AP61" s="219"/>
    </row>
    <row r="62" spans="1:43" ht="16.5" thickBot="1" x14ac:dyDescent="0.3">
      <c r="A62" s="119"/>
      <c r="B62" s="105" t="s">
        <v>5</v>
      </c>
      <c r="C62" s="6"/>
      <c r="D62" s="6"/>
      <c r="E62" s="13"/>
      <c r="F62" s="13"/>
      <c r="G62" s="13"/>
      <c r="H62" s="13">
        <f>SUM(H42:H61)</f>
        <v>23</v>
      </c>
      <c r="I62" s="13"/>
      <c r="J62" s="93">
        <f>SUM(J42:J61)</f>
        <v>134620</v>
      </c>
      <c r="K62" s="111"/>
      <c r="L62" s="163">
        <f>L42+L43+L44+L45+L46+L47+L48+L49+L50+L51+L52+L53+L54+L55+L56+L57+L58+L59+L60+L61</f>
        <v>134016</v>
      </c>
      <c r="M62" s="164">
        <f>SUM(M42:M61)</f>
        <v>19</v>
      </c>
      <c r="N62" s="165"/>
      <c r="O62" s="166"/>
      <c r="P62" s="166"/>
      <c r="Q62" s="166">
        <f>Q42+Q43+Q44+Q45+Q46+Q47+Q48+Q49+Q50+Q51+Q52+Q53+Q54+Q55+Q56+Q57+Q58+Q59+Q60+Q61</f>
        <v>101933</v>
      </c>
      <c r="R62" s="241"/>
      <c r="S62" s="283">
        <f>SUM(S42:S61)+1</f>
        <v>71395</v>
      </c>
      <c r="T62" s="95">
        <f t="shared" ref="T62:U62" si="81">SUM(T42:T61)+1</f>
        <v>82331</v>
      </c>
      <c r="U62" s="95">
        <f t="shared" si="81"/>
        <v>66279</v>
      </c>
      <c r="V62" s="256"/>
      <c r="W62" s="257"/>
      <c r="X62" s="257"/>
      <c r="Y62" s="258"/>
      <c r="Z62" s="271"/>
      <c r="AA62" s="259"/>
      <c r="AB62" s="259"/>
      <c r="AC62" s="95"/>
      <c r="AD62" s="95">
        <f t="shared" ref="AD62" si="82">SUM(AD42:AD61)+1</f>
        <v>6405</v>
      </c>
      <c r="AE62" s="259"/>
      <c r="AF62" s="259"/>
      <c r="AG62" s="259"/>
      <c r="AH62" s="95">
        <f t="shared" ref="AH62:AK62" si="83">SUM(AH42:AH61)+1</f>
        <v>2663</v>
      </c>
      <c r="AI62" s="95">
        <f t="shared" si="83"/>
        <v>92343</v>
      </c>
      <c r="AJ62" s="290">
        <f>SUM(AJ42:AJ61)+2</f>
        <v>106251</v>
      </c>
      <c r="AK62" s="95">
        <f t="shared" si="83"/>
        <v>85529</v>
      </c>
      <c r="AL62" s="284"/>
      <c r="AM62" s="285"/>
      <c r="AN62" s="285"/>
      <c r="AO62" s="183"/>
      <c r="AP62" s="219"/>
    </row>
    <row r="63" spans="1:43" ht="16.5" thickBot="1" x14ac:dyDescent="0.3">
      <c r="A63" s="124"/>
      <c r="B63" s="83" t="s">
        <v>8</v>
      </c>
      <c r="C63" s="22"/>
      <c r="D63" s="22"/>
      <c r="E63" s="29"/>
      <c r="F63" s="29"/>
      <c r="G63" s="29"/>
      <c r="H63" s="29">
        <f>H40+H62</f>
        <v>51</v>
      </c>
      <c r="I63" s="29"/>
      <c r="J63" s="67">
        <f>J62+J40</f>
        <v>270168</v>
      </c>
      <c r="K63" s="158"/>
      <c r="L63" s="159">
        <f>L40+L62-1</f>
        <v>269563</v>
      </c>
      <c r="M63" s="160">
        <f>M40+M62</f>
        <v>44.5</v>
      </c>
      <c r="N63" s="161"/>
      <c r="O63" s="162"/>
      <c r="P63" s="162"/>
      <c r="Q63" s="162">
        <f>Q40+Q62</f>
        <v>225379</v>
      </c>
      <c r="R63" s="238"/>
      <c r="S63" s="283">
        <f t="shared" ref="S63:U63" si="84">S62+S40</f>
        <v>79007</v>
      </c>
      <c r="T63" s="95">
        <f t="shared" si="84"/>
        <v>173675</v>
      </c>
      <c r="U63" s="95">
        <f t="shared" si="84"/>
        <v>139811</v>
      </c>
      <c r="V63" s="256"/>
      <c r="W63" s="257"/>
      <c r="X63" s="257"/>
      <c r="Y63" s="258"/>
      <c r="Z63" s="271"/>
      <c r="AA63" s="259"/>
      <c r="AB63" s="259"/>
      <c r="AC63" s="259"/>
      <c r="AD63" s="259"/>
      <c r="AE63" s="259"/>
      <c r="AF63" s="259"/>
      <c r="AG63" s="259"/>
      <c r="AH63" s="259"/>
      <c r="AI63" s="95">
        <f t="shared" ref="AI63:AK63" si="85">AI62+AI40</f>
        <v>102025</v>
      </c>
      <c r="AJ63" s="95">
        <f t="shared" si="85"/>
        <v>222435</v>
      </c>
      <c r="AK63" s="95">
        <f t="shared" si="85"/>
        <v>179057</v>
      </c>
      <c r="AL63" s="260"/>
      <c r="AM63" s="183"/>
      <c r="AN63" s="183"/>
      <c r="AO63" s="183"/>
      <c r="AP63" s="219"/>
    </row>
    <row r="64" spans="1:43" ht="31.5" x14ac:dyDescent="0.25">
      <c r="A64" s="125"/>
      <c r="B64" s="81" t="s">
        <v>65</v>
      </c>
      <c r="C64" s="81"/>
      <c r="D64" s="23"/>
      <c r="E64" s="42"/>
      <c r="F64" s="42"/>
      <c r="G64" s="42"/>
      <c r="H64" s="42"/>
      <c r="I64" s="42"/>
      <c r="J64" s="68"/>
      <c r="K64" s="112"/>
      <c r="L64" s="89"/>
      <c r="M64" s="52"/>
      <c r="N64" s="75"/>
      <c r="O64" s="75"/>
      <c r="P64" s="75"/>
      <c r="Q64" s="75"/>
      <c r="R64" s="243"/>
      <c r="S64" s="276"/>
      <c r="T64" s="277"/>
      <c r="U64" s="277"/>
      <c r="V64" s="278"/>
      <c r="W64" s="279"/>
      <c r="X64" s="279"/>
      <c r="Y64" s="280"/>
      <c r="Z64" s="281"/>
      <c r="AA64" s="277"/>
      <c r="AB64" s="277"/>
      <c r="AC64" s="277"/>
      <c r="AD64" s="277"/>
      <c r="AE64" s="277"/>
      <c r="AF64" s="277"/>
      <c r="AG64" s="277"/>
      <c r="AH64" s="277"/>
      <c r="AI64" s="277"/>
      <c r="AJ64" s="277"/>
      <c r="AK64" s="277"/>
      <c r="AL64" s="282"/>
      <c r="AM64" s="186"/>
      <c r="AN64" s="186"/>
      <c r="AO64" s="186"/>
      <c r="AP64" s="219"/>
    </row>
    <row r="65" spans="1:44" ht="31.5" x14ac:dyDescent="0.25">
      <c r="A65" s="119">
        <v>40</v>
      </c>
      <c r="B65" s="82" t="s">
        <v>86</v>
      </c>
      <c r="C65" s="82"/>
      <c r="D65" s="5"/>
      <c r="E65" s="14">
        <v>7137</v>
      </c>
      <c r="F65" s="14" t="s">
        <v>2</v>
      </c>
      <c r="G65" s="62">
        <f>AA65</f>
        <v>37.409999999999997</v>
      </c>
      <c r="H65" s="14">
        <v>4</v>
      </c>
      <c r="I65" s="19">
        <f>Z65</f>
        <v>6213</v>
      </c>
      <c r="J65" s="66">
        <f>H65*I65</f>
        <v>24852</v>
      </c>
      <c r="K65" s="101">
        <f>I65</f>
        <v>6213</v>
      </c>
      <c r="L65" s="87">
        <f>K65*H65+1</f>
        <v>24853</v>
      </c>
      <c r="M65" s="49">
        <v>2</v>
      </c>
      <c r="N65" s="72"/>
      <c r="O65" s="72">
        <v>20</v>
      </c>
      <c r="P65" s="90">
        <f>L65*20%</f>
        <v>4971</v>
      </c>
      <c r="Q65" s="90">
        <f>K65*M65+P65+1</f>
        <v>17398</v>
      </c>
      <c r="R65" s="237"/>
      <c r="S65" s="227">
        <v>4884</v>
      </c>
      <c r="T65" s="172">
        <f>S65*H65+1954</f>
        <v>21490</v>
      </c>
      <c r="U65" s="209">
        <f t="shared" ref="U65:U67" si="86">T65-(T65*19.5%)</f>
        <v>17299</v>
      </c>
      <c r="V65" s="172">
        <v>1921</v>
      </c>
      <c r="W65" s="232">
        <v>1.4</v>
      </c>
      <c r="X65" s="232">
        <v>1.5</v>
      </c>
      <c r="Y65" s="234">
        <v>1.54</v>
      </c>
      <c r="Z65" s="208">
        <f t="shared" ref="Z65:Z67" si="87">V65*W65*X65*Y65</f>
        <v>6213</v>
      </c>
      <c r="AA65" s="234">
        <f t="shared" ref="AA65:AA67" si="88">Z65/166.08</f>
        <v>37.409999999999997</v>
      </c>
      <c r="AB65" s="172"/>
      <c r="AC65" s="172"/>
      <c r="AD65" s="172"/>
      <c r="AE65" s="172"/>
      <c r="AF65" s="172">
        <f>(Z65*H65)*20%</f>
        <v>4970</v>
      </c>
      <c r="AG65" s="172"/>
      <c r="AH65" s="172"/>
      <c r="AI65" s="172">
        <f t="shared" ref="AI65:AI67" si="89">Z65</f>
        <v>6213</v>
      </c>
      <c r="AJ65" s="172">
        <f>AI65*H65+AF65</f>
        <v>29822</v>
      </c>
      <c r="AK65" s="209">
        <f t="shared" ref="AK65:AK67" si="90">AJ65-(AJ65*19.5%)</f>
        <v>24007</v>
      </c>
      <c r="AL65" s="245">
        <f>AK65/U65</f>
        <v>1.3879999999999999</v>
      </c>
      <c r="AM65" s="285"/>
      <c r="AN65" s="285"/>
      <c r="AO65" s="182"/>
      <c r="AP65" s="219"/>
    </row>
    <row r="66" spans="1:44" ht="31.5" x14ac:dyDescent="0.25">
      <c r="A66" s="119">
        <v>41</v>
      </c>
      <c r="B66" s="82" t="s">
        <v>86</v>
      </c>
      <c r="C66" s="82"/>
      <c r="D66" s="5"/>
      <c r="E66" s="14">
        <v>7137</v>
      </c>
      <c r="F66" s="14" t="s">
        <v>4</v>
      </c>
      <c r="G66" s="62">
        <f>AA66</f>
        <v>32.79</v>
      </c>
      <c r="H66" s="14">
        <v>1</v>
      </c>
      <c r="I66" s="19">
        <f>Z66</f>
        <v>5446</v>
      </c>
      <c r="J66" s="66">
        <f t="shared" ref="J66:J67" si="91">H66*I66</f>
        <v>5446</v>
      </c>
      <c r="K66" s="101">
        <f>I66</f>
        <v>5446</v>
      </c>
      <c r="L66" s="87">
        <f t="shared" ref="L66:L67" si="92">K66*H66</f>
        <v>5446</v>
      </c>
      <c r="M66" s="49">
        <v>1</v>
      </c>
      <c r="N66" s="72"/>
      <c r="O66" s="72">
        <v>16</v>
      </c>
      <c r="P66" s="90">
        <f>L66*16%</f>
        <v>871</v>
      </c>
      <c r="Q66" s="90">
        <f t="shared" ref="Q66:Q67" si="93">K66*M66+P66</f>
        <v>6317</v>
      </c>
      <c r="R66" s="237"/>
      <c r="S66" s="227">
        <v>4282</v>
      </c>
      <c r="T66" s="172">
        <f>(S66*H66)+(S66*16%)</f>
        <v>4967</v>
      </c>
      <c r="U66" s="209">
        <f t="shared" si="86"/>
        <v>3998</v>
      </c>
      <c r="V66" s="172">
        <v>1921</v>
      </c>
      <c r="W66" s="232">
        <v>1.4</v>
      </c>
      <c r="X66" s="232">
        <v>1.5</v>
      </c>
      <c r="Y66" s="234">
        <v>1.35</v>
      </c>
      <c r="Z66" s="208">
        <f t="shared" si="87"/>
        <v>5446</v>
      </c>
      <c r="AA66" s="234">
        <f t="shared" si="88"/>
        <v>32.79</v>
      </c>
      <c r="AB66" s="172"/>
      <c r="AC66" s="172"/>
      <c r="AD66" s="172"/>
      <c r="AE66" s="172"/>
      <c r="AF66" s="172">
        <f>Z66*16%</f>
        <v>871</v>
      </c>
      <c r="AG66" s="172"/>
      <c r="AH66" s="172"/>
      <c r="AI66" s="172">
        <f t="shared" si="89"/>
        <v>5446</v>
      </c>
      <c r="AJ66" s="172">
        <f>AI66*H66+AF66</f>
        <v>6317</v>
      </c>
      <c r="AK66" s="209">
        <f t="shared" si="90"/>
        <v>5085</v>
      </c>
      <c r="AL66" s="245">
        <f>AK66/U66</f>
        <v>1.272</v>
      </c>
      <c r="AM66" s="285"/>
      <c r="AN66" s="285"/>
      <c r="AO66" s="182"/>
      <c r="AP66" s="219"/>
    </row>
    <row r="67" spans="1:44" ht="31.5" x14ac:dyDescent="0.25">
      <c r="A67" s="119">
        <v>42</v>
      </c>
      <c r="B67" s="82" t="s">
        <v>87</v>
      </c>
      <c r="C67" s="82" t="s">
        <v>78</v>
      </c>
      <c r="D67" s="5" t="s">
        <v>54</v>
      </c>
      <c r="E67" s="14">
        <v>8333</v>
      </c>
      <c r="F67" s="14" t="s">
        <v>2</v>
      </c>
      <c r="G67" s="62">
        <f>AA67</f>
        <v>37.409999999999997</v>
      </c>
      <c r="H67" s="14">
        <v>1</v>
      </c>
      <c r="I67" s="19">
        <f>Z67</f>
        <v>6213</v>
      </c>
      <c r="J67" s="66">
        <f t="shared" si="91"/>
        <v>6213</v>
      </c>
      <c r="K67" s="101">
        <f>I67</f>
        <v>6213</v>
      </c>
      <c r="L67" s="87">
        <f t="shared" si="92"/>
        <v>6213</v>
      </c>
      <c r="M67" s="49">
        <v>1</v>
      </c>
      <c r="N67" s="72"/>
      <c r="O67" s="72">
        <v>10</v>
      </c>
      <c r="P67" s="90">
        <f>L67*O67%</f>
        <v>621</v>
      </c>
      <c r="Q67" s="90">
        <f t="shared" si="93"/>
        <v>6834</v>
      </c>
      <c r="R67" s="237"/>
      <c r="S67" s="272">
        <v>4282</v>
      </c>
      <c r="T67" s="246">
        <f>(S67*H67)+(S67*10%)</f>
        <v>4710</v>
      </c>
      <c r="U67" s="138">
        <f t="shared" si="86"/>
        <v>3792</v>
      </c>
      <c r="V67" s="246">
        <v>1921</v>
      </c>
      <c r="W67" s="273">
        <v>1.4</v>
      </c>
      <c r="X67" s="273">
        <v>1.5</v>
      </c>
      <c r="Y67" s="274">
        <v>1.54</v>
      </c>
      <c r="Z67" s="263">
        <f t="shared" si="87"/>
        <v>6213</v>
      </c>
      <c r="AA67" s="274">
        <f t="shared" si="88"/>
        <v>37.409999999999997</v>
      </c>
      <c r="AB67" s="246"/>
      <c r="AC67" s="246"/>
      <c r="AD67" s="246">
        <f>Z67*10%</f>
        <v>621</v>
      </c>
      <c r="AE67" s="246"/>
      <c r="AF67" s="246"/>
      <c r="AG67" s="246"/>
      <c r="AH67" s="246"/>
      <c r="AI67" s="246">
        <f t="shared" si="89"/>
        <v>6213</v>
      </c>
      <c r="AJ67" s="246">
        <f>AI67*H67+AD67</f>
        <v>6834</v>
      </c>
      <c r="AK67" s="138">
        <f t="shared" si="90"/>
        <v>5501</v>
      </c>
      <c r="AL67" s="275">
        <f>AK67/U67</f>
        <v>1.4510000000000001</v>
      </c>
      <c r="AM67" s="285"/>
      <c r="AN67" s="285"/>
      <c r="AO67" s="182"/>
      <c r="AP67" s="219"/>
    </row>
    <row r="68" spans="1:44" x14ac:dyDescent="0.25">
      <c r="A68" s="119">
        <v>43</v>
      </c>
      <c r="B68" s="140" t="s">
        <v>153</v>
      </c>
      <c r="C68" s="140"/>
      <c r="D68" s="141"/>
      <c r="E68" s="142" t="s">
        <v>156</v>
      </c>
      <c r="F68" s="14" t="s">
        <v>2</v>
      </c>
      <c r="G68" s="143">
        <v>37.409999999999997</v>
      </c>
      <c r="H68" s="142">
        <v>1</v>
      </c>
      <c r="I68" s="144">
        <v>6213</v>
      </c>
      <c r="J68" s="145">
        <f>I68*H68</f>
        <v>6213</v>
      </c>
      <c r="K68" s="296"/>
      <c r="L68" s="297"/>
      <c r="M68" s="298"/>
      <c r="N68" s="299"/>
      <c r="O68" s="299"/>
      <c r="P68" s="300"/>
      <c r="Q68" s="300"/>
      <c r="R68" s="301"/>
      <c r="S68" s="302"/>
      <c r="T68" s="303"/>
      <c r="U68" s="304"/>
      <c r="V68" s="305"/>
      <c r="W68" s="306"/>
      <c r="X68" s="306"/>
      <c r="Y68" s="307"/>
      <c r="Z68" s="308"/>
      <c r="AA68" s="307"/>
      <c r="AB68" s="305"/>
      <c r="AC68" s="305"/>
      <c r="AD68" s="305"/>
      <c r="AE68" s="305"/>
      <c r="AF68" s="305"/>
      <c r="AG68" s="305"/>
      <c r="AH68" s="305"/>
      <c r="AI68" s="303"/>
      <c r="AJ68" s="303"/>
      <c r="AK68" s="304"/>
      <c r="AL68" s="309"/>
      <c r="AM68" s="285"/>
      <c r="AN68" s="285"/>
      <c r="AO68" s="182"/>
      <c r="AP68" s="219"/>
    </row>
    <row r="69" spans="1:44" ht="16.5" thickBot="1" x14ac:dyDescent="0.3">
      <c r="A69" s="119">
        <v>44</v>
      </c>
      <c r="B69" s="140" t="s">
        <v>154</v>
      </c>
      <c r="C69" s="140"/>
      <c r="D69" s="141"/>
      <c r="E69" s="142" t="s">
        <v>155</v>
      </c>
      <c r="F69" s="14" t="s">
        <v>2</v>
      </c>
      <c r="G69" s="143">
        <v>37.409999999999997</v>
      </c>
      <c r="H69" s="142">
        <v>1</v>
      </c>
      <c r="I69" s="144">
        <v>6213</v>
      </c>
      <c r="J69" s="145">
        <f>H69*I69</f>
        <v>6213</v>
      </c>
      <c r="K69" s="296"/>
      <c r="L69" s="297"/>
      <c r="M69" s="298"/>
      <c r="N69" s="299"/>
      <c r="O69" s="299"/>
      <c r="P69" s="300"/>
      <c r="Q69" s="300"/>
      <c r="R69" s="301"/>
      <c r="S69" s="302"/>
      <c r="T69" s="303"/>
      <c r="U69" s="304"/>
      <c r="V69" s="305"/>
      <c r="W69" s="306"/>
      <c r="X69" s="306"/>
      <c r="Y69" s="307"/>
      <c r="Z69" s="308"/>
      <c r="AA69" s="307"/>
      <c r="AB69" s="305"/>
      <c r="AC69" s="305"/>
      <c r="AD69" s="305"/>
      <c r="AE69" s="305"/>
      <c r="AF69" s="305"/>
      <c r="AG69" s="305"/>
      <c r="AH69" s="305"/>
      <c r="AI69" s="303"/>
      <c r="AJ69" s="303"/>
      <c r="AK69" s="304"/>
      <c r="AL69" s="309"/>
      <c r="AM69" s="285"/>
      <c r="AN69" s="285"/>
      <c r="AO69" s="182"/>
      <c r="AP69" s="219"/>
    </row>
    <row r="70" spans="1:44" ht="16.5" thickBot="1" x14ac:dyDescent="0.3">
      <c r="A70" s="119"/>
      <c r="B70" s="83" t="s">
        <v>5</v>
      </c>
      <c r="C70" s="83"/>
      <c r="D70" s="22"/>
      <c r="E70" s="29"/>
      <c r="F70" s="29"/>
      <c r="G70" s="29"/>
      <c r="H70" s="29">
        <f>H64+H65+H66+H67+H68+H69</f>
        <v>8</v>
      </c>
      <c r="I70" s="29"/>
      <c r="J70" s="67">
        <f>SUM(J65:J69)</f>
        <v>48937</v>
      </c>
      <c r="K70" s="158"/>
      <c r="L70" s="159">
        <f>SUM(L65:L67)</f>
        <v>36512</v>
      </c>
      <c r="M70" s="159">
        <f>SUM(M65:M67)</f>
        <v>4</v>
      </c>
      <c r="N70" s="162"/>
      <c r="O70" s="162"/>
      <c r="P70" s="162"/>
      <c r="Q70" s="162">
        <f>SUM(Q65:Q67)</f>
        <v>30549</v>
      </c>
      <c r="R70" s="238"/>
      <c r="S70" s="283">
        <f t="shared" ref="S70:U70" si="94">SUM(S65:S67)</f>
        <v>13448</v>
      </c>
      <c r="T70" s="95">
        <f t="shared" si="94"/>
        <v>31167</v>
      </c>
      <c r="U70" s="95">
        <f t="shared" si="94"/>
        <v>25089</v>
      </c>
      <c r="V70" s="256"/>
      <c r="W70" s="257"/>
      <c r="X70" s="257"/>
      <c r="Y70" s="258"/>
      <c r="Z70" s="271"/>
      <c r="AA70" s="259"/>
      <c r="AB70" s="259"/>
      <c r="AC70" s="259"/>
      <c r="AD70" s="259"/>
      <c r="AE70" s="259"/>
      <c r="AF70" s="259"/>
      <c r="AG70" s="259"/>
      <c r="AH70" s="259"/>
      <c r="AI70" s="95">
        <f t="shared" ref="AI70" si="95">SUM(AI65:AI67)</f>
        <v>17872</v>
      </c>
      <c r="AJ70" s="95">
        <f t="shared" ref="AJ70" si="96">SUM(AJ65:AJ67)</f>
        <v>42973</v>
      </c>
      <c r="AK70" s="95">
        <f t="shared" ref="AK70" si="97">SUM(AK65:AK67)</f>
        <v>34593</v>
      </c>
      <c r="AL70" s="260"/>
      <c r="AM70" s="183"/>
      <c r="AN70" s="183"/>
      <c r="AO70" s="183"/>
      <c r="AP70" s="219"/>
    </row>
    <row r="71" spans="1:44" x14ac:dyDescent="0.25">
      <c r="A71" s="119"/>
      <c r="B71" s="81" t="s">
        <v>18</v>
      </c>
      <c r="C71" s="81"/>
      <c r="D71" s="23"/>
      <c r="E71" s="42"/>
      <c r="F71" s="42"/>
      <c r="G71" s="42"/>
      <c r="H71" s="42"/>
      <c r="I71" s="42"/>
      <c r="J71" s="68"/>
      <c r="K71" s="112"/>
      <c r="L71" s="52"/>
      <c r="M71" s="52"/>
      <c r="N71" s="75"/>
      <c r="O71" s="75"/>
      <c r="P71" s="75"/>
      <c r="Q71" s="75"/>
      <c r="R71" s="243"/>
      <c r="S71" s="276"/>
      <c r="T71" s="277"/>
      <c r="U71" s="277"/>
      <c r="V71" s="278"/>
      <c r="W71" s="279"/>
      <c r="X71" s="279"/>
      <c r="Y71" s="280"/>
      <c r="Z71" s="281"/>
      <c r="AA71" s="277"/>
      <c r="AB71" s="277"/>
      <c r="AC71" s="277"/>
      <c r="AD71" s="277"/>
      <c r="AE71" s="277"/>
      <c r="AF71" s="277"/>
      <c r="AG71" s="277"/>
      <c r="AH71" s="277"/>
      <c r="AI71" s="277"/>
      <c r="AJ71" s="277"/>
      <c r="AK71" s="277"/>
      <c r="AL71" s="282"/>
      <c r="AM71" s="186"/>
      <c r="AN71" s="186"/>
      <c r="AO71" s="186"/>
      <c r="AP71" s="219"/>
    </row>
    <row r="72" spans="1:44" x14ac:dyDescent="0.25">
      <c r="A72" s="119"/>
      <c r="B72" s="84"/>
      <c r="C72" s="84"/>
      <c r="D72" s="25"/>
      <c r="E72" s="14"/>
      <c r="F72" s="14"/>
      <c r="G72" s="14"/>
      <c r="H72" s="14"/>
      <c r="I72" s="19"/>
      <c r="J72" s="66"/>
      <c r="K72" s="101">
        <f>I72</f>
        <v>0</v>
      </c>
      <c r="L72" s="87">
        <f>H72*K72</f>
        <v>0</v>
      </c>
      <c r="M72" s="49">
        <v>1</v>
      </c>
      <c r="N72" s="72"/>
      <c r="O72" s="72"/>
      <c r="P72" s="72"/>
      <c r="Q72" s="90">
        <f t="shared" ref="Q72:Q73" si="98">K72*M72+P72</f>
        <v>0</v>
      </c>
      <c r="R72" s="237"/>
      <c r="S72" s="172"/>
      <c r="T72" s="172"/>
      <c r="U72" s="209"/>
      <c r="V72" s="172"/>
      <c r="W72" s="232"/>
      <c r="X72" s="232"/>
      <c r="Y72" s="234"/>
      <c r="Z72" s="208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209"/>
      <c r="AL72" s="172"/>
      <c r="AM72" s="182"/>
      <c r="AN72" s="182"/>
      <c r="AO72" s="182"/>
      <c r="AP72" s="219"/>
      <c r="AQ72" s="2">
        <v>1.8</v>
      </c>
    </row>
    <row r="73" spans="1:44" x14ac:dyDescent="0.25">
      <c r="A73" s="119">
        <v>45</v>
      </c>
      <c r="B73" s="84" t="s">
        <v>88</v>
      </c>
      <c r="C73" s="84"/>
      <c r="D73" s="25"/>
      <c r="E73" s="12">
        <v>6113</v>
      </c>
      <c r="F73" s="12" t="s">
        <v>10</v>
      </c>
      <c r="G73" s="63">
        <f>AA73</f>
        <v>29.15</v>
      </c>
      <c r="H73" s="12">
        <v>2</v>
      </c>
      <c r="I73" s="173">
        <f>Z73</f>
        <v>4841</v>
      </c>
      <c r="J73" s="66">
        <f>H73*I73</f>
        <v>9682</v>
      </c>
      <c r="K73" s="108">
        <v>4841</v>
      </c>
      <c r="L73" s="49">
        <f t="shared" ref="L73" si="99">K73*H73</f>
        <v>9682</v>
      </c>
      <c r="M73" s="49">
        <v>2</v>
      </c>
      <c r="N73" s="72"/>
      <c r="O73" s="72"/>
      <c r="P73" s="72"/>
      <c r="Q73" s="90">
        <f t="shared" si="98"/>
        <v>9682</v>
      </c>
      <c r="R73" s="237"/>
      <c r="S73" s="172">
        <v>3806</v>
      </c>
      <c r="T73" s="172">
        <f t="shared" ref="T73" si="100">S73*H73</f>
        <v>7612</v>
      </c>
      <c r="U73" s="209">
        <f t="shared" ref="U73" si="101">T73-(T73*19.5%)</f>
        <v>6128</v>
      </c>
      <c r="V73" s="172">
        <v>1921</v>
      </c>
      <c r="W73" s="232">
        <v>1.4</v>
      </c>
      <c r="X73" s="232">
        <v>1.5</v>
      </c>
      <c r="Y73" s="234">
        <v>1.2</v>
      </c>
      <c r="Z73" s="208">
        <f>V73*W73*X73*Y73</f>
        <v>4841</v>
      </c>
      <c r="AA73" s="234">
        <f>Z73/166.08</f>
        <v>29.15</v>
      </c>
      <c r="AB73" s="172"/>
      <c r="AC73" s="172"/>
      <c r="AD73" s="172"/>
      <c r="AE73" s="172"/>
      <c r="AF73" s="172"/>
      <c r="AG73" s="172"/>
      <c r="AH73" s="172"/>
      <c r="AI73" s="172">
        <f>Z73</f>
        <v>4841</v>
      </c>
      <c r="AJ73" s="172">
        <f>AI73*H73</f>
        <v>9682</v>
      </c>
      <c r="AK73" s="209">
        <f t="shared" ref="AK73" si="102">AJ73-(AJ73*19.5%)</f>
        <v>7794</v>
      </c>
      <c r="AL73" s="261">
        <f>AK73/U73</f>
        <v>1.272</v>
      </c>
      <c r="AM73" s="285"/>
      <c r="AN73" s="285"/>
      <c r="AO73" s="182"/>
      <c r="AP73" s="219">
        <f>AS9*AS10*AS11*AS7</f>
        <v>4840.92</v>
      </c>
      <c r="AQ73" s="2">
        <v>1.2</v>
      </c>
      <c r="AR73" s="2" t="s">
        <v>119</v>
      </c>
    </row>
    <row r="74" spans="1:44" ht="16.5" thickBot="1" x14ac:dyDescent="0.3">
      <c r="A74" s="120"/>
      <c r="B74" s="114" t="s">
        <v>5</v>
      </c>
      <c r="C74" s="114"/>
      <c r="D74" s="38"/>
      <c r="E74" s="30"/>
      <c r="F74" s="30"/>
      <c r="G74" s="130"/>
      <c r="H74" s="131">
        <f>SUM(H72:H73)</f>
        <v>2</v>
      </c>
      <c r="I74" s="30"/>
      <c r="J74" s="132">
        <f>J72+J73</f>
        <v>9682</v>
      </c>
      <c r="K74" s="169"/>
      <c r="L74" s="159">
        <f>L72+L73</f>
        <v>9682</v>
      </c>
      <c r="M74" s="170">
        <v>2</v>
      </c>
      <c r="N74" s="171"/>
      <c r="O74" s="171"/>
      <c r="P74" s="171"/>
      <c r="Q74" s="162">
        <f>SUM(Q72:Q73)</f>
        <v>9682</v>
      </c>
      <c r="R74" s="238"/>
      <c r="S74" s="262">
        <f t="shared" ref="S74:U74" si="103">S72+S73</f>
        <v>3806</v>
      </c>
      <c r="T74" s="262">
        <f t="shared" si="103"/>
        <v>7612</v>
      </c>
      <c r="U74" s="262">
        <f t="shared" si="103"/>
        <v>6128</v>
      </c>
      <c r="V74" s="246"/>
      <c r="W74" s="247"/>
      <c r="X74" s="247"/>
      <c r="Y74" s="146"/>
      <c r="Z74" s="263"/>
      <c r="AA74" s="138"/>
      <c r="AB74" s="138"/>
      <c r="AC74" s="138"/>
      <c r="AD74" s="138"/>
      <c r="AE74" s="138"/>
      <c r="AF74" s="138"/>
      <c r="AG74" s="138"/>
      <c r="AH74" s="138"/>
      <c r="AI74" s="262">
        <f t="shared" ref="AI74:AK74" si="104">AI72+AI73</f>
        <v>4841</v>
      </c>
      <c r="AJ74" s="262">
        <f t="shared" si="104"/>
        <v>9682</v>
      </c>
      <c r="AK74" s="262">
        <f t="shared" si="104"/>
        <v>7794</v>
      </c>
      <c r="AL74" s="138"/>
      <c r="AM74" s="183"/>
      <c r="AN74" s="183"/>
      <c r="AO74" s="183"/>
      <c r="AP74" s="219"/>
    </row>
    <row r="75" spans="1:44" ht="16.5" thickBot="1" x14ac:dyDescent="0.3">
      <c r="A75" s="135"/>
      <c r="B75" s="133" t="s">
        <v>8</v>
      </c>
      <c r="C75" s="134"/>
      <c r="D75" s="134"/>
      <c r="E75" s="45"/>
      <c r="F75" s="45"/>
      <c r="G75" s="45"/>
      <c r="H75" s="45">
        <f>H63+H70+H74</f>
        <v>61</v>
      </c>
      <c r="I75" s="45"/>
      <c r="J75" s="95">
        <f>J63+J70+J74</f>
        <v>328787</v>
      </c>
      <c r="K75" s="136"/>
      <c r="L75" s="136"/>
      <c r="M75" s="136"/>
      <c r="N75" s="136"/>
      <c r="O75" s="136"/>
      <c r="P75" s="136"/>
      <c r="Q75" s="136"/>
      <c r="R75" s="187"/>
      <c r="S75" s="264">
        <f t="shared" ref="S75:U75" si="105">S63+S70+S74</f>
        <v>96261</v>
      </c>
      <c r="T75" s="265">
        <f t="shared" si="105"/>
        <v>212454</v>
      </c>
      <c r="U75" s="265">
        <f t="shared" si="105"/>
        <v>171028</v>
      </c>
      <c r="V75" s="266"/>
      <c r="W75" s="267"/>
      <c r="X75" s="267"/>
      <c r="Y75" s="268"/>
      <c r="Z75" s="269"/>
      <c r="AA75" s="266"/>
      <c r="AB75" s="266"/>
      <c r="AC75" s="266"/>
      <c r="AD75" s="266"/>
      <c r="AE75" s="266"/>
      <c r="AF75" s="266"/>
      <c r="AG75" s="266"/>
      <c r="AH75" s="266"/>
      <c r="AI75" s="265">
        <f t="shared" ref="AI75:AK75" si="106">AI63+AI70+AI74</f>
        <v>124738</v>
      </c>
      <c r="AJ75" s="265">
        <f t="shared" si="106"/>
        <v>275090</v>
      </c>
      <c r="AK75" s="265">
        <f t="shared" si="106"/>
        <v>221444</v>
      </c>
      <c r="AL75" s="270"/>
      <c r="AM75" s="200"/>
      <c r="AN75" s="200"/>
      <c r="AP75" s="219"/>
    </row>
    <row r="76" spans="1:44" ht="16.5" thickBot="1" x14ac:dyDescent="0.3">
      <c r="A76" s="43"/>
      <c r="B76" s="44" t="s">
        <v>106</v>
      </c>
      <c r="C76" s="44"/>
      <c r="D76" s="44"/>
      <c r="E76" s="45"/>
      <c r="F76" s="45"/>
      <c r="G76" s="45"/>
      <c r="H76" s="147">
        <f>H36+H63+H70+H74</f>
        <v>78.75</v>
      </c>
      <c r="I76" s="45"/>
      <c r="J76" s="139">
        <f>J17+J22+J35+J40+J62+J70+J74</f>
        <v>465374</v>
      </c>
      <c r="K76" s="55"/>
      <c r="L76" s="56">
        <f>L63+L70+L74+L17</f>
        <v>376747</v>
      </c>
      <c r="M76" s="57">
        <f>M63+M70+M74+M17</f>
        <v>56.5</v>
      </c>
      <c r="N76" s="78"/>
      <c r="O76" s="78"/>
      <c r="P76" s="78"/>
      <c r="Q76" s="213">
        <f>Q63+Q36+Q70+Q74</f>
        <v>391548</v>
      </c>
      <c r="R76" s="244"/>
      <c r="S76" s="255">
        <f t="shared" ref="S76:U76" si="107">S17+S22+S35+S40+S62+S70+S74</f>
        <v>193609</v>
      </c>
      <c r="T76" s="139">
        <f t="shared" si="107"/>
        <v>312363</v>
      </c>
      <c r="U76" s="139">
        <f t="shared" si="107"/>
        <v>251455</v>
      </c>
      <c r="V76" s="256"/>
      <c r="W76" s="257"/>
      <c r="X76" s="259"/>
      <c r="Y76" s="259"/>
      <c r="Z76" s="271"/>
      <c r="AA76" s="259"/>
      <c r="AB76" s="259"/>
      <c r="AC76" s="259"/>
      <c r="AD76" s="259"/>
      <c r="AE76" s="259"/>
      <c r="AF76" s="259"/>
      <c r="AG76" s="259"/>
      <c r="AH76" s="259"/>
      <c r="AI76" s="139">
        <f t="shared" ref="AI76:AK76" si="108">AI17+AI22+AI35+AI40+AI62+AI70+AI74</f>
        <v>232709</v>
      </c>
      <c r="AJ76" s="139">
        <f t="shared" si="108"/>
        <v>406766</v>
      </c>
      <c r="AK76" s="139">
        <f t="shared" si="108"/>
        <v>327444</v>
      </c>
      <c r="AL76" s="260"/>
      <c r="AM76" s="183"/>
      <c r="AN76" s="183"/>
      <c r="AO76" s="183"/>
      <c r="AP76" s="219"/>
    </row>
    <row r="77" spans="1:44" ht="35.25" customHeight="1" x14ac:dyDescent="0.25">
      <c r="A77" s="31"/>
      <c r="B77" s="32"/>
      <c r="C77" s="32"/>
      <c r="D77" s="32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186"/>
      <c r="S77" s="186"/>
      <c r="T77" s="186"/>
      <c r="U77" s="186"/>
      <c r="V77" s="181"/>
      <c r="W77" s="186"/>
      <c r="X77" s="186"/>
      <c r="Y77" s="186"/>
      <c r="Z77" s="202"/>
      <c r="AA77" s="186"/>
      <c r="AB77" s="186"/>
      <c r="AC77" s="186"/>
      <c r="AD77" s="186"/>
      <c r="AE77" s="186"/>
      <c r="AF77" s="186" t="s">
        <v>147</v>
      </c>
      <c r="AG77" s="183">
        <f>AJ76-T76</f>
        <v>94403</v>
      </c>
      <c r="AH77" s="186"/>
      <c r="AI77" s="186"/>
      <c r="AJ77" s="186">
        <f>AJ76/T76</f>
        <v>1.30222209416608</v>
      </c>
      <c r="AK77" s="287" t="s">
        <v>146</v>
      </c>
      <c r="AL77" s="186"/>
      <c r="AM77" s="186"/>
      <c r="AN77" s="186"/>
      <c r="AO77" s="186"/>
    </row>
    <row r="78" spans="1:44" ht="36.75" customHeight="1" x14ac:dyDescent="0.25">
      <c r="A78" s="31"/>
      <c r="B78" s="35"/>
      <c r="C78" s="32"/>
      <c r="D78" s="32"/>
      <c r="E78" s="33"/>
      <c r="F78" s="33"/>
      <c r="G78" s="33"/>
      <c r="H78" s="33"/>
      <c r="I78" s="33"/>
      <c r="J78" s="33"/>
      <c r="K78" s="59" t="s">
        <v>59</v>
      </c>
      <c r="M78" s="69">
        <f>H63-M63</f>
        <v>6.5</v>
      </c>
      <c r="N78" s="69"/>
      <c r="O78" s="69"/>
      <c r="P78" s="69"/>
      <c r="Q78" s="33"/>
      <c r="R78" s="186"/>
      <c r="S78" s="186"/>
      <c r="T78" s="186"/>
      <c r="U78" s="186"/>
      <c r="V78" s="181"/>
      <c r="W78" s="186"/>
      <c r="X78" s="186"/>
      <c r="Y78" s="186"/>
      <c r="Z78" s="202"/>
      <c r="AA78" s="186"/>
      <c r="AB78" s="186"/>
      <c r="AC78" s="186"/>
      <c r="AD78" s="186" t="s">
        <v>149</v>
      </c>
      <c r="AE78" s="186">
        <f>40821*8.41%</f>
        <v>3433.0461</v>
      </c>
      <c r="AF78" s="186" t="s">
        <v>148</v>
      </c>
      <c r="AG78" s="183">
        <f>(AJ76-40821)*22%</f>
        <v>80508</v>
      </c>
      <c r="AH78" s="186"/>
      <c r="AI78" s="186" t="s">
        <v>150</v>
      </c>
      <c r="AJ78" s="183">
        <f>AE78+AG78</f>
        <v>83941</v>
      </c>
      <c r="AK78" s="186"/>
      <c r="AL78" s="291">
        <f>AJ76+AJ78</f>
        <v>490707</v>
      </c>
      <c r="AM78" s="186"/>
      <c r="AN78" s="186"/>
      <c r="AO78" s="186"/>
    </row>
    <row r="79" spans="1:44" x14ac:dyDescent="0.25">
      <c r="A79" s="31"/>
      <c r="B79" s="32"/>
      <c r="C79" s="32"/>
      <c r="D79" s="32"/>
      <c r="E79" s="33"/>
      <c r="F79" s="33"/>
      <c r="G79" s="33"/>
      <c r="H79" s="33"/>
      <c r="I79" s="33"/>
      <c r="J79" s="33"/>
      <c r="K79" s="59"/>
      <c r="M79" s="69"/>
      <c r="N79" s="69"/>
      <c r="O79" s="69"/>
      <c r="P79" s="69"/>
      <c r="Q79" s="33"/>
      <c r="R79" s="186"/>
      <c r="S79" s="186"/>
      <c r="T79" s="186"/>
      <c r="U79" s="186"/>
      <c r="V79" s="181"/>
      <c r="W79" s="186"/>
      <c r="X79" s="186"/>
      <c r="Y79" s="186"/>
      <c r="Z79" s="202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</row>
    <row r="80" spans="1:44" x14ac:dyDescent="0.25">
      <c r="A80" s="31"/>
      <c r="B80" s="32"/>
      <c r="C80" s="32"/>
      <c r="D80" s="32"/>
      <c r="E80" s="33"/>
      <c r="F80" s="33"/>
      <c r="G80" s="33"/>
      <c r="H80" s="33"/>
      <c r="I80" s="33"/>
      <c r="J80" s="33"/>
      <c r="K80" s="59"/>
      <c r="M80" s="69"/>
      <c r="N80" s="69"/>
      <c r="O80" s="69"/>
      <c r="P80" s="69"/>
      <c r="Q80" s="33"/>
      <c r="R80" s="186"/>
      <c r="S80" s="186"/>
      <c r="T80" s="186"/>
      <c r="U80" s="186"/>
      <c r="V80" s="181"/>
      <c r="W80" s="186"/>
      <c r="X80" s="186"/>
      <c r="Y80" s="186"/>
      <c r="Z80" s="202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</row>
    <row r="81" spans="1:52" x14ac:dyDescent="0.25">
      <c r="A81" s="27"/>
      <c r="B81" s="35"/>
      <c r="C81" s="35"/>
      <c r="D81" s="35"/>
      <c r="E81" s="35"/>
      <c r="F81" s="36"/>
      <c r="G81" s="8"/>
      <c r="H81" s="8"/>
      <c r="I81" s="8"/>
      <c r="J81" s="8"/>
      <c r="K81" s="59" t="s">
        <v>60</v>
      </c>
      <c r="M81" s="60">
        <f>H70-M70</f>
        <v>4</v>
      </c>
      <c r="N81" s="60"/>
      <c r="O81" s="60"/>
      <c r="P81" s="60"/>
      <c r="Q81" s="8"/>
      <c r="R81" s="188"/>
      <c r="S81" s="188"/>
      <c r="T81" s="188"/>
      <c r="U81" s="230"/>
      <c r="V81" s="188"/>
      <c r="W81" s="188"/>
      <c r="X81" s="188"/>
      <c r="Y81" s="188"/>
      <c r="AA81" s="188"/>
      <c r="AB81" s="188"/>
      <c r="AC81" s="188"/>
      <c r="AD81" s="188"/>
      <c r="AE81" s="188"/>
      <c r="AF81" s="188"/>
      <c r="AG81" s="188"/>
      <c r="AH81" s="188"/>
      <c r="AI81" s="188"/>
      <c r="AJ81" s="188"/>
      <c r="AK81" s="230"/>
      <c r="AL81" s="188"/>
      <c r="AM81" s="188"/>
      <c r="AN81" s="188"/>
      <c r="AO81" s="223"/>
    </row>
    <row r="82" spans="1:52" s="34" customFormat="1" x14ac:dyDescent="0.25">
      <c r="A82" s="27"/>
      <c r="H82" s="37"/>
      <c r="I82" s="35"/>
      <c r="J82" s="35"/>
      <c r="K82" s="59" t="s">
        <v>61</v>
      </c>
      <c r="M82" s="33">
        <f>H74-M74</f>
        <v>0</v>
      </c>
      <c r="N82" s="33"/>
      <c r="O82" s="33"/>
      <c r="P82" s="33"/>
      <c r="Q82" s="35"/>
      <c r="R82" s="189"/>
      <c r="S82" s="189"/>
      <c r="T82" s="189"/>
      <c r="U82" s="231"/>
      <c r="V82" s="189"/>
      <c r="W82" s="189"/>
      <c r="X82" s="189"/>
      <c r="Y82" s="189"/>
      <c r="Z82" s="205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231"/>
      <c r="AL82" s="189"/>
      <c r="AM82" s="189"/>
      <c r="AN82" s="189"/>
      <c r="AO82" s="224"/>
      <c r="AP82" s="188"/>
      <c r="AQ82" s="8"/>
      <c r="AR82" s="8"/>
      <c r="AS82" s="8"/>
      <c r="AT82" s="8"/>
      <c r="AU82" s="8"/>
      <c r="AV82" s="8"/>
      <c r="AW82" s="8"/>
      <c r="AX82" s="8"/>
      <c r="AY82" s="8"/>
      <c r="AZ82" s="8"/>
    </row>
    <row r="83" spans="1:52" x14ac:dyDescent="0.25">
      <c r="K83" s="59" t="s">
        <v>62</v>
      </c>
      <c r="M83" s="58">
        <f>H17-M17</f>
        <v>1.25</v>
      </c>
      <c r="N83" s="58"/>
      <c r="O83" s="58"/>
      <c r="P83" s="58"/>
    </row>
    <row r="84" spans="1:52" x14ac:dyDescent="0.25">
      <c r="K84" s="59" t="s">
        <v>63</v>
      </c>
      <c r="L84" s="8"/>
      <c r="M84" s="61">
        <f>H76-M76</f>
        <v>22.25</v>
      </c>
      <c r="N84" s="61"/>
      <c r="O84" s="61"/>
      <c r="P84" s="61"/>
    </row>
    <row r="85" spans="1:52" x14ac:dyDescent="0.25">
      <c r="G85" s="36"/>
      <c r="L85" s="35"/>
      <c r="M85" s="35"/>
      <c r="N85" s="35"/>
      <c r="O85" s="35"/>
      <c r="P85" s="35"/>
    </row>
  </sheetData>
  <mergeCells count="26">
    <mergeCell ref="AK5:AK7"/>
    <mergeCell ref="AL5:AL7"/>
    <mergeCell ref="AG5:AG7"/>
    <mergeCell ref="AD5:AD7"/>
    <mergeCell ref="AE5:AE7"/>
    <mergeCell ref="AW11:BB11"/>
    <mergeCell ref="B18:J18"/>
    <mergeCell ref="S5:S7"/>
    <mergeCell ref="T5:T7"/>
    <mergeCell ref="U5:U7"/>
    <mergeCell ref="AA5:AA7"/>
    <mergeCell ref="AB5:AB7"/>
    <mergeCell ref="W5:W7"/>
    <mergeCell ref="X5:X7"/>
    <mergeCell ref="Y5:Y7"/>
    <mergeCell ref="AC5:AC7"/>
    <mergeCell ref="AF5:AF7"/>
    <mergeCell ref="AH5:AH7"/>
    <mergeCell ref="AI5:AI7"/>
    <mergeCell ref="Z5:Z7"/>
    <mergeCell ref="AJ5:AJ7"/>
    <mergeCell ref="B23:D23"/>
    <mergeCell ref="V5:V7"/>
    <mergeCell ref="A4:J4"/>
    <mergeCell ref="A5:J5"/>
    <mergeCell ref="B8:J8"/>
  </mergeCells>
  <pageMargins left="0.78740157480314965" right="0.19685039370078741" top="0.19685039370078741" bottom="0.19685039370078741" header="0.31496062992125984" footer="0.31496062992125984"/>
  <pageSetup paperSize="9" scale="52" orientation="portrait" r:id="rId1"/>
  <rowBreaks count="1" manualBreakCount="1">
    <brk id="78" max="16383" man="1"/>
  </rowBreaks>
  <colBreaks count="2" manualBreakCount="2">
    <brk id="17" max="1048575" man="1"/>
    <brk id="40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верній </vt:lpstr>
      <vt:lpstr>'верній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2019-09-06T07:38:39Z</dcterms:modified>
</cp:coreProperties>
</file>