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іська рада Сесії 7 скликання\7 скликання 32 сесія\"/>
    </mc:Choice>
  </mc:AlternateContent>
  <bookViews>
    <workbookView xWindow="0" yWindow="0" windowWidth="2049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Лист1!$A$7:$T$1352</definedName>
    <definedName name="_xlnm.Print_Titles" localSheetId="0">Лист1!$4:$7</definedName>
  </definedNames>
  <calcPr calcId="152511"/>
</workbook>
</file>

<file path=xl/calcChain.xml><?xml version="1.0" encoding="utf-8"?>
<calcChain xmlns="http://schemas.openxmlformats.org/spreadsheetml/2006/main">
  <c r="D1306" i="1" l="1"/>
  <c r="D1290" i="1"/>
  <c r="D1274" i="1"/>
  <c r="D1258" i="1"/>
  <c r="D1242" i="1"/>
  <c r="D1226" i="1"/>
  <c r="D1210" i="1"/>
  <c r="D1178" i="1"/>
  <c r="D1162" i="1"/>
  <c r="D1146" i="1"/>
  <c r="D1114" i="1"/>
  <c r="D1098" i="1"/>
  <c r="D1082" i="1"/>
  <c r="D1065" i="1"/>
  <c r="D1049" i="1"/>
  <c r="D1033" i="1"/>
  <c r="D1017" i="1"/>
  <c r="D1001" i="1"/>
  <c r="D985" i="1"/>
  <c r="D969" i="1"/>
  <c r="D953" i="1"/>
  <c r="D921" i="1"/>
  <c r="D889" i="1"/>
  <c r="D873" i="1"/>
  <c r="D857" i="1"/>
  <c r="D841" i="1"/>
  <c r="D825" i="1"/>
  <c r="D809" i="1"/>
  <c r="D793" i="1"/>
  <c r="D777" i="1"/>
  <c r="D761" i="1"/>
  <c r="D745" i="1"/>
  <c r="D729" i="1"/>
  <c r="D713" i="1"/>
  <c r="D665" i="1"/>
  <c r="D633" i="1"/>
  <c r="D617" i="1"/>
  <c r="D601" i="1"/>
  <c r="D585" i="1"/>
  <c r="D553" i="1"/>
  <c r="D537" i="1"/>
  <c r="D505" i="1"/>
  <c r="D489" i="1"/>
  <c r="D457" i="1"/>
  <c r="D441" i="1"/>
  <c r="D425" i="1"/>
  <c r="D409" i="1"/>
  <c r="D393" i="1"/>
  <c r="D377" i="1"/>
  <c r="D361" i="1"/>
  <c r="D345" i="1"/>
  <c r="D329" i="1"/>
  <c r="D313" i="1"/>
  <c r="D297" i="1"/>
  <c r="D281" i="1"/>
  <c r="D265" i="1"/>
  <c r="D249" i="1"/>
  <c r="D233" i="1"/>
  <c r="D217" i="1"/>
  <c r="D201" i="1"/>
  <c r="D185" i="1"/>
  <c r="D169" i="1"/>
  <c r="D153" i="1"/>
  <c r="D137" i="1"/>
  <c r="D121" i="1"/>
  <c r="D105" i="1"/>
  <c r="D89" i="1"/>
  <c r="D73" i="1"/>
  <c r="D57" i="1"/>
  <c r="D41" i="1"/>
  <c r="D25" i="1"/>
  <c r="D9" i="1"/>
  <c r="B816" i="1" l="1"/>
  <c r="B1313" i="1"/>
  <c r="B1297" i="1"/>
  <c r="B1281" i="1"/>
  <c r="B1265" i="1"/>
  <c r="B1233" i="1"/>
  <c r="B1217" i="1"/>
  <c r="B1201" i="1"/>
  <c r="B1185" i="1"/>
  <c r="B1169" i="1"/>
  <c r="B1137" i="1"/>
  <c r="B1121" i="1"/>
  <c r="B1105" i="1"/>
  <c r="B1089" i="1"/>
  <c r="B1056" i="1"/>
  <c r="B1024" i="1"/>
  <c r="B1008" i="1"/>
  <c r="B992" i="1"/>
  <c r="B976" i="1"/>
  <c r="B960" i="1"/>
  <c r="B944" i="1"/>
  <c r="B928" i="1"/>
  <c r="B912" i="1"/>
  <c r="B896" i="1"/>
  <c r="B880" i="1"/>
  <c r="B864" i="1"/>
  <c r="B848" i="1"/>
  <c r="B784" i="1"/>
  <c r="B752" i="1"/>
  <c r="B736" i="1"/>
  <c r="B720" i="1"/>
  <c r="B704" i="1"/>
  <c r="B672" i="1"/>
  <c r="B640" i="1"/>
  <c r="B624" i="1"/>
  <c r="B608" i="1"/>
  <c r="B592" i="1"/>
  <c r="B576" i="1"/>
  <c r="B544" i="1"/>
  <c r="B528" i="1"/>
  <c r="B512" i="1"/>
  <c r="B496" i="1"/>
  <c r="B448" i="1"/>
  <c r="B400" i="1"/>
  <c r="B368" i="1"/>
  <c r="B352" i="1"/>
  <c r="B336" i="1"/>
  <c r="B320" i="1"/>
  <c r="B304" i="1"/>
  <c r="B288" i="1"/>
  <c r="B272" i="1"/>
  <c r="B256" i="1"/>
  <c r="B224" i="1"/>
  <c r="B208" i="1"/>
  <c r="B176" i="1"/>
  <c r="B160" i="1"/>
  <c r="B144" i="1"/>
  <c r="B128" i="1"/>
  <c r="B112" i="1"/>
  <c r="B96" i="1"/>
  <c r="B80" i="1"/>
  <c r="B64" i="1"/>
  <c r="B32" i="1"/>
  <c r="B16" i="1"/>
  <c r="D1066" i="1" l="1"/>
  <c r="D810" i="1"/>
  <c r="D794" i="1"/>
  <c r="D778" i="1"/>
  <c r="D762" i="1"/>
  <c r="D154" i="1"/>
  <c r="D138" i="1"/>
  <c r="D122" i="1"/>
  <c r="D106" i="1"/>
  <c r="D90" i="1"/>
  <c r="D74" i="1"/>
  <c r="D58" i="1"/>
  <c r="D42" i="1"/>
  <c r="D26" i="1"/>
  <c r="D10" i="1"/>
  <c r="D12" i="1"/>
  <c r="D156" i="1" l="1"/>
  <c r="D92" i="1"/>
  <c r="D76" i="1"/>
  <c r="D44" i="1"/>
  <c r="D569" i="1" l="1"/>
  <c r="D649" i="1"/>
  <c r="D1130" i="1"/>
  <c r="D764" i="1" l="1"/>
  <c r="D1307" i="1"/>
  <c r="D1309" i="1"/>
  <c r="D765" i="1"/>
  <c r="D157" i="1"/>
  <c r="D11" i="1" l="1"/>
  <c r="G1352" i="1" l="1"/>
  <c r="D748" i="1"/>
  <c r="B66" i="1"/>
  <c r="B31" i="1"/>
  <c r="B15" i="1"/>
  <c r="B47" i="1"/>
  <c r="D60" i="1"/>
  <c r="B60" i="1"/>
  <c r="E12" i="1"/>
  <c r="B11" i="1"/>
  <c r="B48" i="1"/>
  <c r="D780" i="1"/>
  <c r="D812" i="1"/>
  <c r="D1068" i="1"/>
  <c r="D28" i="1"/>
  <c r="D140" i="1"/>
  <c r="B27" i="1" l="1"/>
  <c r="B43" i="1"/>
  <c r="D124" i="1"/>
  <c r="D108" i="1"/>
  <c r="D796" i="1"/>
  <c r="E26" i="1"/>
  <c r="E10" i="1"/>
  <c r="E1099" i="1" l="1"/>
  <c r="E1066" i="1"/>
  <c r="E922" i="1"/>
  <c r="E762" i="1"/>
  <c r="B1332" i="1" l="1"/>
  <c r="C1332" i="1"/>
  <c r="I1335" i="1"/>
  <c r="H1335" i="1"/>
  <c r="G1335" i="1"/>
  <c r="F1335" i="1"/>
  <c r="E1335" i="1"/>
  <c r="D1335" i="1"/>
  <c r="C1335" i="1"/>
  <c r="B1335" i="1"/>
  <c r="J1334" i="1"/>
  <c r="J1333" i="1"/>
  <c r="I1332" i="1"/>
  <c r="I1336" i="1" s="1"/>
  <c r="H1332" i="1"/>
  <c r="H1336" i="1" s="1"/>
  <c r="G1332" i="1"/>
  <c r="G1336" i="1" s="1"/>
  <c r="F1332" i="1"/>
  <c r="F1336" i="1" s="1"/>
  <c r="E1332" i="1"/>
  <c r="E1336" i="1" s="1"/>
  <c r="J1331" i="1"/>
  <c r="J1330" i="1"/>
  <c r="J1329" i="1"/>
  <c r="J1328" i="1"/>
  <c r="J1327" i="1"/>
  <c r="J1326" i="1"/>
  <c r="J1325" i="1"/>
  <c r="J1324" i="1"/>
  <c r="D1332" i="1"/>
  <c r="D1336" i="1" s="1"/>
  <c r="J1322" i="1"/>
  <c r="J1338" i="1"/>
  <c r="B1340" i="1"/>
  <c r="N1340" i="1" s="1"/>
  <c r="N1342" i="1" s="1"/>
  <c r="C1340" i="1"/>
  <c r="D1340" i="1"/>
  <c r="E1340" i="1"/>
  <c r="F1340" i="1"/>
  <c r="G1340" i="1"/>
  <c r="H1340" i="1"/>
  <c r="I1340" i="1"/>
  <c r="C1341" i="1"/>
  <c r="E1341" i="1"/>
  <c r="F1341" i="1"/>
  <c r="H1341" i="1"/>
  <c r="I1341" i="1"/>
  <c r="C1342" i="1"/>
  <c r="D1342" i="1"/>
  <c r="E1342" i="1"/>
  <c r="F1342" i="1"/>
  <c r="H1342" i="1"/>
  <c r="I1342" i="1"/>
  <c r="C1343" i="1"/>
  <c r="E1343" i="1"/>
  <c r="F1343" i="1"/>
  <c r="G1343" i="1"/>
  <c r="H1343" i="1"/>
  <c r="I1343" i="1"/>
  <c r="B1344" i="1"/>
  <c r="C1344" i="1"/>
  <c r="E1344" i="1"/>
  <c r="F1344" i="1"/>
  <c r="G1344" i="1"/>
  <c r="H1344" i="1"/>
  <c r="I1344" i="1"/>
  <c r="B1345" i="1"/>
  <c r="R1345" i="1" s="1"/>
  <c r="C1345" i="1"/>
  <c r="D1345" i="1"/>
  <c r="E1345" i="1"/>
  <c r="F1345" i="1"/>
  <c r="G1345" i="1"/>
  <c r="H1345" i="1"/>
  <c r="I1345" i="1"/>
  <c r="C1346" i="1"/>
  <c r="D1346" i="1"/>
  <c r="E1346" i="1"/>
  <c r="F1346" i="1"/>
  <c r="G1346" i="1"/>
  <c r="H1346" i="1"/>
  <c r="I1346" i="1"/>
  <c r="C1347" i="1"/>
  <c r="D1347" i="1"/>
  <c r="E1347" i="1"/>
  <c r="F1347" i="1"/>
  <c r="G1347" i="1"/>
  <c r="H1347" i="1"/>
  <c r="I1347" i="1"/>
  <c r="C1348" i="1"/>
  <c r="D1348" i="1"/>
  <c r="E1348" i="1"/>
  <c r="F1348" i="1"/>
  <c r="G1348" i="1"/>
  <c r="H1348" i="1"/>
  <c r="I1348" i="1"/>
  <c r="C1349" i="1"/>
  <c r="D1349" i="1"/>
  <c r="E1349" i="1"/>
  <c r="F1349" i="1"/>
  <c r="H1349" i="1"/>
  <c r="I1349" i="1"/>
  <c r="R1344" i="1" l="1"/>
  <c r="B1336" i="1"/>
  <c r="J1323" i="1"/>
  <c r="C1336" i="1"/>
  <c r="J1335" i="1"/>
  <c r="J1336" i="1"/>
  <c r="J1332" i="1"/>
  <c r="K1345" i="1"/>
  <c r="L1345" i="1" s="1"/>
  <c r="J1077" i="1" l="1"/>
  <c r="G1350" i="1"/>
  <c r="B58" i="1"/>
  <c r="D125" i="1"/>
  <c r="D61" i="1"/>
  <c r="D13" i="1"/>
  <c r="D1310" i="1"/>
  <c r="J1350" i="1" l="1"/>
  <c r="R1350" i="1"/>
  <c r="D29" i="1"/>
  <c r="G874" i="1" l="1"/>
  <c r="G842" i="1"/>
  <c r="G858" i="1"/>
  <c r="B746" i="1"/>
  <c r="B1341" i="1" s="1"/>
  <c r="D666" i="1"/>
  <c r="B155" i="1"/>
  <c r="D746" i="1"/>
  <c r="D755" i="1" s="1"/>
  <c r="G763" i="1"/>
  <c r="G1342" i="1" s="1"/>
  <c r="B156" i="1"/>
  <c r="B284" i="1"/>
  <c r="G42" i="1"/>
  <c r="B1347" i="1"/>
  <c r="B1343" i="1" l="1"/>
  <c r="R1343" i="1" s="1"/>
  <c r="K1347" i="1"/>
  <c r="L1347" i="1" s="1"/>
  <c r="R1347" i="1"/>
  <c r="D572" i="1"/>
  <c r="D1101" i="1"/>
  <c r="D1085" i="1"/>
  <c r="D1020" i="1"/>
  <c r="D732" i="1"/>
  <c r="D620" i="1"/>
  <c r="D604" i="1"/>
  <c r="D588" i="1"/>
  <c r="D508" i="1"/>
  <c r="D444" i="1"/>
  <c r="D396" i="1"/>
  <c r="D348" i="1"/>
  <c r="D268" i="1"/>
  <c r="D236" i="1"/>
  <c r="D220" i="1"/>
  <c r="P1343" i="1" l="1"/>
  <c r="B107" i="1"/>
  <c r="G770" i="1"/>
  <c r="G1349" i="1" s="1"/>
  <c r="B34" i="1"/>
  <c r="D204" i="1"/>
  <c r="D1344" i="1"/>
  <c r="K1344" i="1" s="1"/>
  <c r="L1344" i="1" s="1"/>
  <c r="B59" i="1"/>
  <c r="B1349" i="1" l="1"/>
  <c r="D364" i="1"/>
  <c r="D316" i="1"/>
  <c r="D634" i="1"/>
  <c r="K1349" i="1" l="1"/>
  <c r="L1349" i="1" s="1"/>
  <c r="R1349" i="1"/>
  <c r="G1066" i="1"/>
  <c r="G1076" i="1" s="1"/>
  <c r="B1346" i="1"/>
  <c r="B81" i="1"/>
  <c r="B1348" i="1" s="1"/>
  <c r="B139" i="1"/>
  <c r="B123" i="1"/>
  <c r="B91" i="1"/>
  <c r="B1342" i="1" l="1"/>
  <c r="K1342" i="1" s="1"/>
  <c r="L1342" i="1" s="1"/>
  <c r="M1342" i="1" s="1"/>
  <c r="K1348" i="1"/>
  <c r="L1348" i="1" s="1"/>
  <c r="R1348" i="1"/>
  <c r="K1346" i="1"/>
  <c r="L1346" i="1" s="1"/>
  <c r="R1346" i="1"/>
  <c r="R1342" i="1"/>
  <c r="G1341" i="1"/>
  <c r="R1341" i="1" s="1"/>
  <c r="D1213" i="1"/>
  <c r="D1052" i="1"/>
  <c r="D988" i="1"/>
  <c r="D892" i="1"/>
  <c r="D636" i="1"/>
  <c r="D332" i="1"/>
  <c r="D252" i="1"/>
  <c r="D188" i="1"/>
  <c r="D1343" i="1" s="1"/>
  <c r="K1343" i="1" s="1"/>
  <c r="L1343" i="1" s="1"/>
  <c r="D314" i="1" l="1"/>
  <c r="K1341" i="1" l="1"/>
  <c r="L1341" i="1" s="1"/>
  <c r="D1341" i="1"/>
  <c r="G819" i="1"/>
  <c r="E1369" i="1" l="1"/>
  <c r="B1362" i="1"/>
  <c r="C1352" i="1" l="1"/>
  <c r="C1351" i="1" s="1"/>
  <c r="D1352" i="1"/>
  <c r="D1351" i="1" s="1"/>
  <c r="F1352" i="1"/>
  <c r="F1351" i="1" s="1"/>
  <c r="H1352" i="1"/>
  <c r="H1351" i="1" s="1"/>
  <c r="I1352" i="1"/>
  <c r="I1351" i="1" s="1"/>
  <c r="G1351" i="1" l="1"/>
  <c r="B1352" i="1" l="1"/>
  <c r="B1351" i="1" s="1"/>
  <c r="E1352" i="1"/>
  <c r="E1351" i="1" s="1"/>
  <c r="K1351" i="1" l="1"/>
  <c r="L1351" i="1" s="1"/>
  <c r="J1148" i="1" l="1"/>
  <c r="I70" i="1" l="1"/>
  <c r="H70" i="1"/>
  <c r="G70" i="1"/>
  <c r="F70" i="1"/>
  <c r="E70" i="1"/>
  <c r="D70" i="1"/>
  <c r="C70" i="1"/>
  <c r="B70" i="1"/>
  <c r="J69" i="1"/>
  <c r="J68" i="1"/>
  <c r="I67" i="1"/>
  <c r="I71" i="1" s="1"/>
  <c r="H67" i="1"/>
  <c r="H71" i="1" s="1"/>
  <c r="G67" i="1"/>
  <c r="G71" i="1" s="1"/>
  <c r="F67" i="1"/>
  <c r="F71" i="1" s="1"/>
  <c r="E67" i="1"/>
  <c r="D67" i="1"/>
  <c r="D71" i="1" s="1"/>
  <c r="C67" i="1"/>
  <c r="C71" i="1" s="1"/>
  <c r="J66" i="1"/>
  <c r="B67" i="1"/>
  <c r="J64" i="1"/>
  <c r="J63" i="1"/>
  <c r="J62" i="1"/>
  <c r="J61" i="1"/>
  <c r="J60" i="1"/>
  <c r="J59" i="1"/>
  <c r="J58" i="1"/>
  <c r="J57" i="1"/>
  <c r="E71" i="1" l="1"/>
  <c r="J70" i="1"/>
  <c r="B71" i="1"/>
  <c r="J67" i="1"/>
  <c r="J65" i="1"/>
  <c r="J1309" i="1"/>
  <c r="J1310" i="1"/>
  <c r="J1311" i="1"/>
  <c r="J1312" i="1"/>
  <c r="J1313" i="1"/>
  <c r="J1314" i="1"/>
  <c r="J1315" i="1"/>
  <c r="J1317" i="1"/>
  <c r="J1318" i="1"/>
  <c r="J1306" i="1"/>
  <c r="C1319" i="1"/>
  <c r="D1319" i="1"/>
  <c r="E1319" i="1"/>
  <c r="F1319" i="1"/>
  <c r="G1319" i="1"/>
  <c r="H1319" i="1"/>
  <c r="I1319" i="1"/>
  <c r="C1316" i="1"/>
  <c r="D1316" i="1"/>
  <c r="E1316" i="1"/>
  <c r="F1316" i="1"/>
  <c r="G1316" i="1"/>
  <c r="H1316" i="1"/>
  <c r="I1316" i="1"/>
  <c r="B1319" i="1"/>
  <c r="I662" i="1"/>
  <c r="H662" i="1"/>
  <c r="G662" i="1"/>
  <c r="F662" i="1"/>
  <c r="E662" i="1"/>
  <c r="D662" i="1"/>
  <c r="C662" i="1"/>
  <c r="B662" i="1"/>
  <c r="J661" i="1"/>
  <c r="J660" i="1"/>
  <c r="I659" i="1"/>
  <c r="I663" i="1" s="1"/>
  <c r="H659" i="1"/>
  <c r="H663" i="1" s="1"/>
  <c r="G659" i="1"/>
  <c r="G663" i="1" s="1"/>
  <c r="F659" i="1"/>
  <c r="F663" i="1" s="1"/>
  <c r="E659" i="1"/>
  <c r="E663" i="1" s="1"/>
  <c r="D659" i="1"/>
  <c r="D663" i="1" s="1"/>
  <c r="C659" i="1"/>
  <c r="C663" i="1" s="1"/>
  <c r="B659" i="1"/>
  <c r="B663" i="1" s="1"/>
  <c r="J658" i="1"/>
  <c r="J657" i="1"/>
  <c r="J656" i="1"/>
  <c r="J655" i="1"/>
  <c r="J654" i="1"/>
  <c r="J653" i="1"/>
  <c r="J652" i="1"/>
  <c r="J651" i="1"/>
  <c r="J650" i="1"/>
  <c r="J649" i="1"/>
  <c r="I230" i="1"/>
  <c r="H230" i="1"/>
  <c r="G230" i="1"/>
  <c r="F230" i="1"/>
  <c r="E230" i="1"/>
  <c r="D230" i="1"/>
  <c r="C230" i="1"/>
  <c r="B230" i="1"/>
  <c r="J229" i="1"/>
  <c r="J228" i="1"/>
  <c r="I227" i="1"/>
  <c r="I231" i="1" s="1"/>
  <c r="H227" i="1"/>
  <c r="H231" i="1" s="1"/>
  <c r="G227" i="1"/>
  <c r="G231" i="1" s="1"/>
  <c r="F227" i="1"/>
  <c r="F231" i="1" s="1"/>
  <c r="E227" i="1"/>
  <c r="E231" i="1" s="1"/>
  <c r="D227" i="1"/>
  <c r="C227" i="1"/>
  <c r="C231" i="1" s="1"/>
  <c r="B227" i="1"/>
  <c r="B231" i="1" s="1"/>
  <c r="J226" i="1"/>
  <c r="J225" i="1"/>
  <c r="J224" i="1"/>
  <c r="J223" i="1"/>
  <c r="J222" i="1"/>
  <c r="J221" i="1"/>
  <c r="J220" i="1"/>
  <c r="J219" i="1"/>
  <c r="J218" i="1"/>
  <c r="J217" i="1"/>
  <c r="I1159" i="1"/>
  <c r="H1159" i="1"/>
  <c r="G1159" i="1"/>
  <c r="F1159" i="1"/>
  <c r="E1159" i="1"/>
  <c r="D1159" i="1"/>
  <c r="C1159" i="1"/>
  <c r="B1159" i="1"/>
  <c r="J1158" i="1"/>
  <c r="J1157" i="1"/>
  <c r="I1156" i="1"/>
  <c r="I1160" i="1" s="1"/>
  <c r="H1156" i="1"/>
  <c r="H1160" i="1" s="1"/>
  <c r="G1156" i="1"/>
  <c r="G1160" i="1" s="1"/>
  <c r="F1156" i="1"/>
  <c r="F1160" i="1" s="1"/>
  <c r="E1156" i="1"/>
  <c r="D1156" i="1"/>
  <c r="D1160" i="1" s="1"/>
  <c r="C1156" i="1"/>
  <c r="C1160" i="1" s="1"/>
  <c r="B1156" i="1"/>
  <c r="B1160" i="1" s="1"/>
  <c r="J1155" i="1"/>
  <c r="J1154" i="1"/>
  <c r="J1153" i="1"/>
  <c r="J1152" i="1"/>
  <c r="J1151" i="1"/>
  <c r="J1150" i="1"/>
  <c r="J1149" i="1"/>
  <c r="J1147" i="1"/>
  <c r="J1146" i="1"/>
  <c r="I1303" i="1"/>
  <c r="H1303" i="1"/>
  <c r="G1303" i="1"/>
  <c r="F1303" i="1"/>
  <c r="E1303" i="1"/>
  <c r="D1303" i="1"/>
  <c r="C1303" i="1"/>
  <c r="B1303" i="1"/>
  <c r="J1302" i="1"/>
  <c r="J1301" i="1"/>
  <c r="J1299" i="1"/>
  <c r="J1298" i="1"/>
  <c r="J1297" i="1"/>
  <c r="J1296" i="1"/>
  <c r="J1295" i="1"/>
  <c r="J1294" i="1"/>
  <c r="J1293" i="1"/>
  <c r="J1292" i="1"/>
  <c r="J1291" i="1"/>
  <c r="J1290" i="1"/>
  <c r="I1287" i="1"/>
  <c r="H1287" i="1"/>
  <c r="G1287" i="1"/>
  <c r="F1287" i="1"/>
  <c r="E1287" i="1"/>
  <c r="D1287" i="1"/>
  <c r="C1287" i="1"/>
  <c r="B1287" i="1"/>
  <c r="J1286" i="1"/>
  <c r="J1285" i="1"/>
  <c r="I1284" i="1"/>
  <c r="I1288" i="1" s="1"/>
  <c r="H1284" i="1"/>
  <c r="H1288" i="1" s="1"/>
  <c r="G1284" i="1"/>
  <c r="G1288" i="1" s="1"/>
  <c r="F1284" i="1"/>
  <c r="F1288" i="1" s="1"/>
  <c r="E1284" i="1"/>
  <c r="E1288" i="1" s="1"/>
  <c r="D1284" i="1"/>
  <c r="C1284" i="1"/>
  <c r="C1288" i="1" s="1"/>
  <c r="B1284" i="1"/>
  <c r="B1288" i="1" s="1"/>
  <c r="J1283" i="1"/>
  <c r="J1282" i="1"/>
  <c r="J1281" i="1"/>
  <c r="J1280" i="1"/>
  <c r="J1279" i="1"/>
  <c r="J1278" i="1"/>
  <c r="J1277" i="1"/>
  <c r="J1276" i="1"/>
  <c r="J1275" i="1"/>
  <c r="J1274" i="1"/>
  <c r="I1271" i="1"/>
  <c r="H1271" i="1"/>
  <c r="G1271" i="1"/>
  <c r="F1271" i="1"/>
  <c r="E1271" i="1"/>
  <c r="D1271" i="1"/>
  <c r="C1271" i="1"/>
  <c r="B1271" i="1"/>
  <c r="J1270" i="1"/>
  <c r="J1269" i="1"/>
  <c r="I1268" i="1"/>
  <c r="I1272" i="1" s="1"/>
  <c r="H1268" i="1"/>
  <c r="H1272" i="1" s="1"/>
  <c r="G1268" i="1"/>
  <c r="G1272" i="1" s="1"/>
  <c r="F1268" i="1"/>
  <c r="F1272" i="1" s="1"/>
  <c r="E1268" i="1"/>
  <c r="E1272" i="1" s="1"/>
  <c r="D1268" i="1"/>
  <c r="C1268" i="1"/>
  <c r="C1272" i="1" s="1"/>
  <c r="B1268" i="1"/>
  <c r="B1272" i="1" s="1"/>
  <c r="J1267" i="1"/>
  <c r="J1266" i="1"/>
  <c r="J1265" i="1"/>
  <c r="J1264" i="1"/>
  <c r="J1263" i="1"/>
  <c r="J1262" i="1"/>
  <c r="J1261" i="1"/>
  <c r="J1260" i="1"/>
  <c r="J1259" i="1"/>
  <c r="J1258" i="1"/>
  <c r="I1255" i="1"/>
  <c r="H1255" i="1"/>
  <c r="G1255" i="1"/>
  <c r="F1255" i="1"/>
  <c r="E1255" i="1"/>
  <c r="D1255" i="1"/>
  <c r="C1255" i="1"/>
  <c r="B1255" i="1"/>
  <c r="J1254" i="1"/>
  <c r="J1253" i="1"/>
  <c r="I1252" i="1"/>
  <c r="I1256" i="1" s="1"/>
  <c r="H1252" i="1"/>
  <c r="H1256" i="1" s="1"/>
  <c r="G1252" i="1"/>
  <c r="G1256" i="1" s="1"/>
  <c r="F1252" i="1"/>
  <c r="F1256" i="1" s="1"/>
  <c r="E1252" i="1"/>
  <c r="E1256" i="1" s="1"/>
  <c r="D1252" i="1"/>
  <c r="D1256" i="1" s="1"/>
  <c r="C1252" i="1"/>
  <c r="C1256" i="1" s="1"/>
  <c r="B1252" i="1"/>
  <c r="B1256" i="1" s="1"/>
  <c r="J1251" i="1"/>
  <c r="J1250" i="1"/>
  <c r="J1249" i="1"/>
  <c r="J1248" i="1"/>
  <c r="J1247" i="1"/>
  <c r="J1246" i="1"/>
  <c r="J1245" i="1"/>
  <c r="J1244" i="1"/>
  <c r="J1243" i="1"/>
  <c r="J1242" i="1"/>
  <c r="I1239" i="1"/>
  <c r="H1239" i="1"/>
  <c r="G1239" i="1"/>
  <c r="F1239" i="1"/>
  <c r="E1239" i="1"/>
  <c r="D1239" i="1"/>
  <c r="C1239" i="1"/>
  <c r="B1239" i="1"/>
  <c r="J1238" i="1"/>
  <c r="J1237" i="1"/>
  <c r="I1236" i="1"/>
  <c r="I1240" i="1" s="1"/>
  <c r="H1236" i="1"/>
  <c r="H1240" i="1" s="1"/>
  <c r="G1236" i="1"/>
  <c r="G1240" i="1" s="1"/>
  <c r="F1236" i="1"/>
  <c r="F1240" i="1" s="1"/>
  <c r="E1236" i="1"/>
  <c r="E1240" i="1" s="1"/>
  <c r="D1236" i="1"/>
  <c r="C1236" i="1"/>
  <c r="C1240" i="1" s="1"/>
  <c r="B1236" i="1"/>
  <c r="B1240" i="1" s="1"/>
  <c r="J1235" i="1"/>
  <c r="J1234" i="1"/>
  <c r="J1233" i="1"/>
  <c r="J1232" i="1"/>
  <c r="J1231" i="1"/>
  <c r="J1230" i="1"/>
  <c r="J1229" i="1"/>
  <c r="J1228" i="1"/>
  <c r="J1227" i="1"/>
  <c r="J1226" i="1"/>
  <c r="I1223" i="1"/>
  <c r="H1223" i="1"/>
  <c r="G1223" i="1"/>
  <c r="F1223" i="1"/>
  <c r="E1223" i="1"/>
  <c r="D1223" i="1"/>
  <c r="C1223" i="1"/>
  <c r="B1223" i="1"/>
  <c r="J1222" i="1"/>
  <c r="J1221" i="1"/>
  <c r="I1220" i="1"/>
  <c r="I1224" i="1" s="1"/>
  <c r="H1220" i="1"/>
  <c r="H1224" i="1" s="1"/>
  <c r="G1220" i="1"/>
  <c r="G1224" i="1" s="1"/>
  <c r="F1220" i="1"/>
  <c r="F1224" i="1" s="1"/>
  <c r="E1220" i="1"/>
  <c r="E1224" i="1" s="1"/>
  <c r="D1220" i="1"/>
  <c r="D1224" i="1" s="1"/>
  <c r="C1220" i="1"/>
  <c r="C1224" i="1" s="1"/>
  <c r="B1220" i="1"/>
  <c r="B1224" i="1" s="1"/>
  <c r="J1219" i="1"/>
  <c r="J1218" i="1"/>
  <c r="J1217" i="1"/>
  <c r="J1216" i="1"/>
  <c r="J1215" i="1"/>
  <c r="J1214" i="1"/>
  <c r="J1213" i="1"/>
  <c r="J1212" i="1"/>
  <c r="J1211" i="1"/>
  <c r="J1210" i="1"/>
  <c r="I1207" i="1"/>
  <c r="H1207" i="1"/>
  <c r="G1207" i="1"/>
  <c r="F1207" i="1"/>
  <c r="E1207" i="1"/>
  <c r="D1207" i="1"/>
  <c r="C1207" i="1"/>
  <c r="B1207" i="1"/>
  <c r="J1206" i="1"/>
  <c r="J1205" i="1"/>
  <c r="I1204" i="1"/>
  <c r="I1208" i="1" s="1"/>
  <c r="H1204" i="1"/>
  <c r="H1208" i="1" s="1"/>
  <c r="G1204" i="1"/>
  <c r="G1208" i="1" s="1"/>
  <c r="F1204" i="1"/>
  <c r="F1208" i="1" s="1"/>
  <c r="E1204" i="1"/>
  <c r="E1208" i="1" s="1"/>
  <c r="D1204" i="1"/>
  <c r="D1208" i="1" s="1"/>
  <c r="C1204" i="1"/>
  <c r="C1208" i="1" s="1"/>
  <c r="B1204" i="1"/>
  <c r="B1208" i="1" s="1"/>
  <c r="J1203" i="1"/>
  <c r="J1202" i="1"/>
  <c r="J1201" i="1"/>
  <c r="J1200" i="1"/>
  <c r="J1199" i="1"/>
  <c r="J1198" i="1"/>
  <c r="J1197" i="1"/>
  <c r="J1196" i="1"/>
  <c r="J1195" i="1"/>
  <c r="J1194" i="1"/>
  <c r="I1191" i="1"/>
  <c r="H1191" i="1"/>
  <c r="G1191" i="1"/>
  <c r="F1191" i="1"/>
  <c r="E1191" i="1"/>
  <c r="D1191" i="1"/>
  <c r="C1191" i="1"/>
  <c r="B1191" i="1"/>
  <c r="J1190" i="1"/>
  <c r="J1189" i="1"/>
  <c r="I1188" i="1"/>
  <c r="I1192" i="1" s="1"/>
  <c r="H1188" i="1"/>
  <c r="H1192" i="1" s="1"/>
  <c r="G1188" i="1"/>
  <c r="G1192" i="1" s="1"/>
  <c r="F1188" i="1"/>
  <c r="F1192" i="1" s="1"/>
  <c r="E1188" i="1"/>
  <c r="E1192" i="1" s="1"/>
  <c r="D1188" i="1"/>
  <c r="D1192" i="1" s="1"/>
  <c r="C1188" i="1"/>
  <c r="C1192" i="1" s="1"/>
  <c r="B1188" i="1"/>
  <c r="B1192" i="1" s="1"/>
  <c r="J1187" i="1"/>
  <c r="J1186" i="1"/>
  <c r="J1185" i="1"/>
  <c r="J1184" i="1"/>
  <c r="J1183" i="1"/>
  <c r="J1182" i="1"/>
  <c r="J1181" i="1"/>
  <c r="J1180" i="1"/>
  <c r="J1179" i="1"/>
  <c r="J1178" i="1"/>
  <c r="I1175" i="1"/>
  <c r="H1175" i="1"/>
  <c r="G1175" i="1"/>
  <c r="F1175" i="1"/>
  <c r="E1175" i="1"/>
  <c r="D1175" i="1"/>
  <c r="C1175" i="1"/>
  <c r="B1175" i="1"/>
  <c r="J1174" i="1"/>
  <c r="J1173" i="1"/>
  <c r="I1172" i="1"/>
  <c r="I1176" i="1" s="1"/>
  <c r="H1172" i="1"/>
  <c r="H1176" i="1" s="1"/>
  <c r="G1172" i="1"/>
  <c r="G1176" i="1" s="1"/>
  <c r="F1172" i="1"/>
  <c r="F1176" i="1" s="1"/>
  <c r="E1172" i="1"/>
  <c r="E1176" i="1" s="1"/>
  <c r="D1172" i="1"/>
  <c r="D1176" i="1" s="1"/>
  <c r="C1172" i="1"/>
  <c r="C1176" i="1" s="1"/>
  <c r="B1172" i="1"/>
  <c r="B1176" i="1" s="1"/>
  <c r="J1171" i="1"/>
  <c r="J1170" i="1"/>
  <c r="J1169" i="1"/>
  <c r="J1168" i="1"/>
  <c r="J1167" i="1"/>
  <c r="J1166" i="1"/>
  <c r="J1165" i="1"/>
  <c r="J1164" i="1"/>
  <c r="J1163" i="1"/>
  <c r="J1162" i="1"/>
  <c r="I1143" i="1"/>
  <c r="H1143" i="1"/>
  <c r="G1143" i="1"/>
  <c r="F1143" i="1"/>
  <c r="E1143" i="1"/>
  <c r="D1143" i="1"/>
  <c r="C1143" i="1"/>
  <c r="B1143" i="1"/>
  <c r="J1142" i="1"/>
  <c r="J1141" i="1"/>
  <c r="I1140" i="1"/>
  <c r="I1144" i="1" s="1"/>
  <c r="H1140" i="1"/>
  <c r="H1144" i="1" s="1"/>
  <c r="G1140" i="1"/>
  <c r="G1144" i="1" s="1"/>
  <c r="F1140" i="1"/>
  <c r="F1144" i="1" s="1"/>
  <c r="E1140" i="1"/>
  <c r="E1144" i="1" s="1"/>
  <c r="D1140" i="1"/>
  <c r="C1140" i="1"/>
  <c r="C1144" i="1" s="1"/>
  <c r="B1140" i="1"/>
  <c r="B1144" i="1" s="1"/>
  <c r="J1139" i="1"/>
  <c r="J1138" i="1"/>
  <c r="J1137" i="1"/>
  <c r="J1136" i="1"/>
  <c r="J1135" i="1"/>
  <c r="J1134" i="1"/>
  <c r="J1133" i="1"/>
  <c r="J1132" i="1"/>
  <c r="J1131" i="1"/>
  <c r="J1130" i="1"/>
  <c r="I1127" i="1"/>
  <c r="H1127" i="1"/>
  <c r="G1127" i="1"/>
  <c r="F1127" i="1"/>
  <c r="E1127" i="1"/>
  <c r="D1127" i="1"/>
  <c r="C1127" i="1"/>
  <c r="B1127" i="1"/>
  <c r="J1126" i="1"/>
  <c r="J1125" i="1"/>
  <c r="I1124" i="1"/>
  <c r="I1128" i="1" s="1"/>
  <c r="H1124" i="1"/>
  <c r="H1128" i="1" s="1"/>
  <c r="G1124" i="1"/>
  <c r="G1128" i="1" s="1"/>
  <c r="F1124" i="1"/>
  <c r="F1128" i="1" s="1"/>
  <c r="E1124" i="1"/>
  <c r="E1128" i="1" s="1"/>
  <c r="D1124" i="1"/>
  <c r="D1128" i="1" s="1"/>
  <c r="C1124" i="1"/>
  <c r="C1128" i="1" s="1"/>
  <c r="B1124" i="1"/>
  <c r="B1128" i="1" s="1"/>
  <c r="J1123" i="1"/>
  <c r="J1122" i="1"/>
  <c r="J1121" i="1"/>
  <c r="J1120" i="1"/>
  <c r="J1119" i="1"/>
  <c r="J1118" i="1"/>
  <c r="J1117" i="1"/>
  <c r="J1116" i="1"/>
  <c r="J1115" i="1"/>
  <c r="J1114" i="1"/>
  <c r="I1111" i="1"/>
  <c r="H1111" i="1"/>
  <c r="G1111" i="1"/>
  <c r="F1111" i="1"/>
  <c r="E1111" i="1"/>
  <c r="D1111" i="1"/>
  <c r="C1111" i="1"/>
  <c r="B1111" i="1"/>
  <c r="J1110" i="1"/>
  <c r="J1109" i="1"/>
  <c r="I1108" i="1"/>
  <c r="I1112" i="1" s="1"/>
  <c r="H1108" i="1"/>
  <c r="H1112" i="1" s="1"/>
  <c r="G1108" i="1"/>
  <c r="G1112" i="1" s="1"/>
  <c r="F1108" i="1"/>
  <c r="F1112" i="1" s="1"/>
  <c r="E1108" i="1"/>
  <c r="E1112" i="1" s="1"/>
  <c r="D1108" i="1"/>
  <c r="D1112" i="1" s="1"/>
  <c r="C1108" i="1"/>
  <c r="C1112" i="1" s="1"/>
  <c r="B1108" i="1"/>
  <c r="B1112" i="1" s="1"/>
  <c r="J1107" i="1"/>
  <c r="J1106" i="1"/>
  <c r="J1105" i="1"/>
  <c r="J1104" i="1"/>
  <c r="J1103" i="1"/>
  <c r="J1102" i="1"/>
  <c r="J1101" i="1"/>
  <c r="J1100" i="1"/>
  <c r="J1099" i="1"/>
  <c r="J1098" i="1"/>
  <c r="I1095" i="1"/>
  <c r="H1095" i="1"/>
  <c r="G1095" i="1"/>
  <c r="F1095" i="1"/>
  <c r="E1095" i="1"/>
  <c r="D1095" i="1"/>
  <c r="C1095" i="1"/>
  <c r="B1095" i="1"/>
  <c r="J1094" i="1"/>
  <c r="J1093" i="1"/>
  <c r="I1092" i="1"/>
  <c r="I1096" i="1" s="1"/>
  <c r="H1092" i="1"/>
  <c r="H1096" i="1" s="1"/>
  <c r="G1092" i="1"/>
  <c r="G1096" i="1" s="1"/>
  <c r="F1092" i="1"/>
  <c r="F1096" i="1" s="1"/>
  <c r="E1092" i="1"/>
  <c r="E1096" i="1" s="1"/>
  <c r="D1092" i="1"/>
  <c r="D1096" i="1" s="1"/>
  <c r="C1092" i="1"/>
  <c r="C1096" i="1" s="1"/>
  <c r="B1092" i="1"/>
  <c r="B1096" i="1" s="1"/>
  <c r="J1091" i="1"/>
  <c r="J1090" i="1"/>
  <c r="J1089" i="1"/>
  <c r="J1088" i="1"/>
  <c r="J1087" i="1"/>
  <c r="J1086" i="1"/>
  <c r="J1085" i="1"/>
  <c r="J1084" i="1"/>
  <c r="J1083" i="1"/>
  <c r="J1082" i="1"/>
  <c r="I1079" i="1"/>
  <c r="H1079" i="1"/>
  <c r="G1079" i="1"/>
  <c r="G1080" i="1" s="1"/>
  <c r="F1079" i="1"/>
  <c r="E1079" i="1"/>
  <c r="D1079" i="1"/>
  <c r="C1079" i="1"/>
  <c r="B1079" i="1"/>
  <c r="J1078" i="1"/>
  <c r="I1076" i="1"/>
  <c r="H1076" i="1"/>
  <c r="F1076" i="1"/>
  <c r="F1080" i="1" s="1"/>
  <c r="E1076" i="1"/>
  <c r="D1076" i="1"/>
  <c r="D1080" i="1" s="1"/>
  <c r="C1076" i="1"/>
  <c r="B1076" i="1"/>
  <c r="J1074" i="1"/>
  <c r="J1073" i="1"/>
  <c r="J1072" i="1"/>
  <c r="J1071" i="1"/>
  <c r="J1070" i="1"/>
  <c r="J1069" i="1"/>
  <c r="J1068" i="1"/>
  <c r="J1067" i="1"/>
  <c r="J1066" i="1"/>
  <c r="J1065" i="1"/>
  <c r="I1062" i="1"/>
  <c r="H1062" i="1"/>
  <c r="G1062" i="1"/>
  <c r="F1062" i="1"/>
  <c r="E1062" i="1"/>
  <c r="D1062" i="1"/>
  <c r="C1062" i="1"/>
  <c r="B1062" i="1"/>
  <c r="J1061" i="1"/>
  <c r="J1060" i="1"/>
  <c r="I1059" i="1"/>
  <c r="I1063" i="1" s="1"/>
  <c r="H1059" i="1"/>
  <c r="H1063" i="1" s="1"/>
  <c r="G1059" i="1"/>
  <c r="G1063" i="1" s="1"/>
  <c r="F1059" i="1"/>
  <c r="F1063" i="1" s="1"/>
  <c r="E1059" i="1"/>
  <c r="E1063" i="1" s="1"/>
  <c r="D1059" i="1"/>
  <c r="C1059" i="1"/>
  <c r="C1063" i="1" s="1"/>
  <c r="B1059" i="1"/>
  <c r="B1063" i="1" s="1"/>
  <c r="J1058" i="1"/>
  <c r="J1057" i="1"/>
  <c r="J1056" i="1"/>
  <c r="J1055" i="1"/>
  <c r="J1054" i="1"/>
  <c r="J1053" i="1"/>
  <c r="J1052" i="1"/>
  <c r="J1051" i="1"/>
  <c r="J1050" i="1"/>
  <c r="J1049" i="1"/>
  <c r="I1046" i="1"/>
  <c r="H1046" i="1"/>
  <c r="G1046" i="1"/>
  <c r="F1046" i="1"/>
  <c r="E1046" i="1"/>
  <c r="D1046" i="1"/>
  <c r="C1046" i="1"/>
  <c r="B1046" i="1"/>
  <c r="J1045" i="1"/>
  <c r="J1044" i="1"/>
  <c r="I1043" i="1"/>
  <c r="I1047" i="1" s="1"/>
  <c r="H1043" i="1"/>
  <c r="H1047" i="1" s="1"/>
  <c r="G1043" i="1"/>
  <c r="G1047" i="1" s="1"/>
  <c r="F1043" i="1"/>
  <c r="F1047" i="1" s="1"/>
  <c r="E1043" i="1"/>
  <c r="E1047" i="1" s="1"/>
  <c r="D1043" i="1"/>
  <c r="C1043" i="1"/>
  <c r="C1047" i="1" s="1"/>
  <c r="B1043" i="1"/>
  <c r="B1047" i="1" s="1"/>
  <c r="J1042" i="1"/>
  <c r="J1041" i="1"/>
  <c r="J1040" i="1"/>
  <c r="J1039" i="1"/>
  <c r="J1038" i="1"/>
  <c r="J1037" i="1"/>
  <c r="J1036" i="1"/>
  <c r="J1035" i="1"/>
  <c r="J1034" i="1"/>
  <c r="J1033" i="1"/>
  <c r="I1030" i="1"/>
  <c r="H1030" i="1"/>
  <c r="G1030" i="1"/>
  <c r="F1030" i="1"/>
  <c r="E1030" i="1"/>
  <c r="D1030" i="1"/>
  <c r="C1030" i="1"/>
  <c r="B1030" i="1"/>
  <c r="J1029" i="1"/>
  <c r="J1028" i="1"/>
  <c r="I1027" i="1"/>
  <c r="I1031" i="1" s="1"/>
  <c r="H1027" i="1"/>
  <c r="H1031" i="1" s="1"/>
  <c r="G1027" i="1"/>
  <c r="G1031" i="1" s="1"/>
  <c r="F1027" i="1"/>
  <c r="F1031" i="1" s="1"/>
  <c r="E1027" i="1"/>
  <c r="E1031" i="1" s="1"/>
  <c r="D1027" i="1"/>
  <c r="D1031" i="1" s="1"/>
  <c r="C1027" i="1"/>
  <c r="C1031" i="1" s="1"/>
  <c r="B1027" i="1"/>
  <c r="B1031" i="1" s="1"/>
  <c r="J1026" i="1"/>
  <c r="J1025" i="1"/>
  <c r="J1024" i="1"/>
  <c r="J1023" i="1"/>
  <c r="J1022" i="1"/>
  <c r="J1021" i="1"/>
  <c r="J1020" i="1"/>
  <c r="J1019" i="1"/>
  <c r="J1018" i="1"/>
  <c r="J1017" i="1"/>
  <c r="I1014" i="1"/>
  <c r="H1014" i="1"/>
  <c r="G1014" i="1"/>
  <c r="F1014" i="1"/>
  <c r="E1014" i="1"/>
  <c r="D1014" i="1"/>
  <c r="C1014" i="1"/>
  <c r="B1014" i="1"/>
  <c r="J1013" i="1"/>
  <c r="J1012" i="1"/>
  <c r="I1011" i="1"/>
  <c r="I1015" i="1" s="1"/>
  <c r="H1011" i="1"/>
  <c r="H1015" i="1" s="1"/>
  <c r="G1011" i="1"/>
  <c r="G1015" i="1" s="1"/>
  <c r="F1011" i="1"/>
  <c r="F1015" i="1" s="1"/>
  <c r="E1011" i="1"/>
  <c r="E1015" i="1" s="1"/>
  <c r="D1011" i="1"/>
  <c r="C1011" i="1"/>
  <c r="C1015" i="1" s="1"/>
  <c r="B1011" i="1"/>
  <c r="B1015" i="1" s="1"/>
  <c r="J1010" i="1"/>
  <c r="J1009" i="1"/>
  <c r="J1008" i="1"/>
  <c r="J1007" i="1"/>
  <c r="J1006" i="1"/>
  <c r="J1005" i="1"/>
  <c r="J1004" i="1"/>
  <c r="J1003" i="1"/>
  <c r="J1002" i="1"/>
  <c r="J1001" i="1"/>
  <c r="I998" i="1"/>
  <c r="H998" i="1"/>
  <c r="G998" i="1"/>
  <c r="F998" i="1"/>
  <c r="E998" i="1"/>
  <c r="D998" i="1"/>
  <c r="C998" i="1"/>
  <c r="B998" i="1"/>
  <c r="J997" i="1"/>
  <c r="J996" i="1"/>
  <c r="I995" i="1"/>
  <c r="I999" i="1" s="1"/>
  <c r="H995" i="1"/>
  <c r="H999" i="1" s="1"/>
  <c r="G995" i="1"/>
  <c r="G999" i="1" s="1"/>
  <c r="F995" i="1"/>
  <c r="F999" i="1" s="1"/>
  <c r="E995" i="1"/>
  <c r="E999" i="1" s="1"/>
  <c r="D995" i="1"/>
  <c r="D999" i="1" s="1"/>
  <c r="C995" i="1"/>
  <c r="C999" i="1" s="1"/>
  <c r="B995" i="1"/>
  <c r="B999" i="1" s="1"/>
  <c r="J994" i="1"/>
  <c r="J993" i="1"/>
  <c r="J992" i="1"/>
  <c r="J991" i="1"/>
  <c r="J990" i="1"/>
  <c r="J989" i="1"/>
  <c r="J988" i="1"/>
  <c r="J987" i="1"/>
  <c r="J986" i="1"/>
  <c r="J985" i="1"/>
  <c r="I982" i="1"/>
  <c r="H982" i="1"/>
  <c r="G982" i="1"/>
  <c r="F982" i="1"/>
  <c r="E982" i="1"/>
  <c r="D982" i="1"/>
  <c r="C982" i="1"/>
  <c r="B982" i="1"/>
  <c r="J981" i="1"/>
  <c r="J980" i="1"/>
  <c r="I979" i="1"/>
  <c r="I983" i="1" s="1"/>
  <c r="H979" i="1"/>
  <c r="H983" i="1" s="1"/>
  <c r="G979" i="1"/>
  <c r="G983" i="1" s="1"/>
  <c r="F979" i="1"/>
  <c r="F983" i="1" s="1"/>
  <c r="E979" i="1"/>
  <c r="E983" i="1" s="1"/>
  <c r="D979" i="1"/>
  <c r="D983" i="1" s="1"/>
  <c r="C979" i="1"/>
  <c r="C983" i="1" s="1"/>
  <c r="B979" i="1"/>
  <c r="B983" i="1" s="1"/>
  <c r="J978" i="1"/>
  <c r="J977" i="1"/>
  <c r="J976" i="1"/>
  <c r="J975" i="1"/>
  <c r="J974" i="1"/>
  <c r="J973" i="1"/>
  <c r="J972" i="1"/>
  <c r="J971" i="1"/>
  <c r="J970" i="1"/>
  <c r="J969" i="1"/>
  <c r="I966" i="1"/>
  <c r="H966" i="1"/>
  <c r="G966" i="1"/>
  <c r="F966" i="1"/>
  <c r="E966" i="1"/>
  <c r="D966" i="1"/>
  <c r="C966" i="1"/>
  <c r="B966" i="1"/>
  <c r="J965" i="1"/>
  <c r="J964" i="1"/>
  <c r="I963" i="1"/>
  <c r="I967" i="1" s="1"/>
  <c r="H963" i="1"/>
  <c r="H967" i="1" s="1"/>
  <c r="G963" i="1"/>
  <c r="G967" i="1" s="1"/>
  <c r="F963" i="1"/>
  <c r="F967" i="1" s="1"/>
  <c r="E963" i="1"/>
  <c r="E967" i="1" s="1"/>
  <c r="D963" i="1"/>
  <c r="C963" i="1"/>
  <c r="C967" i="1" s="1"/>
  <c r="B963" i="1"/>
  <c r="B967" i="1" s="1"/>
  <c r="J962" i="1"/>
  <c r="J961" i="1"/>
  <c r="J960" i="1"/>
  <c r="J959" i="1"/>
  <c r="J958" i="1"/>
  <c r="J957" i="1"/>
  <c r="J956" i="1"/>
  <c r="J955" i="1"/>
  <c r="J954" i="1"/>
  <c r="J953" i="1"/>
  <c r="I950" i="1"/>
  <c r="H950" i="1"/>
  <c r="G950" i="1"/>
  <c r="F950" i="1"/>
  <c r="E950" i="1"/>
  <c r="D950" i="1"/>
  <c r="C950" i="1"/>
  <c r="B950" i="1"/>
  <c r="J949" i="1"/>
  <c r="J948" i="1"/>
  <c r="I947" i="1"/>
  <c r="I951" i="1" s="1"/>
  <c r="H947" i="1"/>
  <c r="H951" i="1" s="1"/>
  <c r="G947" i="1"/>
  <c r="G951" i="1" s="1"/>
  <c r="F947" i="1"/>
  <c r="F951" i="1" s="1"/>
  <c r="E947" i="1"/>
  <c r="E951" i="1" s="1"/>
  <c r="D947" i="1"/>
  <c r="D951" i="1" s="1"/>
  <c r="C947" i="1"/>
  <c r="C951" i="1" s="1"/>
  <c r="B947" i="1"/>
  <c r="B951" i="1" s="1"/>
  <c r="J946" i="1"/>
  <c r="J945" i="1"/>
  <c r="J944" i="1"/>
  <c r="J943" i="1"/>
  <c r="J942" i="1"/>
  <c r="J941" i="1"/>
  <c r="J940" i="1"/>
  <c r="J939" i="1"/>
  <c r="J938" i="1"/>
  <c r="J937" i="1"/>
  <c r="I934" i="1"/>
  <c r="H934" i="1"/>
  <c r="G934" i="1"/>
  <c r="F934" i="1"/>
  <c r="E934" i="1"/>
  <c r="D934" i="1"/>
  <c r="C934" i="1"/>
  <c r="B934" i="1"/>
  <c r="J933" i="1"/>
  <c r="J932" i="1"/>
  <c r="I931" i="1"/>
  <c r="I935" i="1" s="1"/>
  <c r="H931" i="1"/>
  <c r="H935" i="1" s="1"/>
  <c r="G931" i="1"/>
  <c r="G935" i="1" s="1"/>
  <c r="F931" i="1"/>
  <c r="F935" i="1" s="1"/>
  <c r="E931" i="1"/>
  <c r="E935" i="1" s="1"/>
  <c r="D931" i="1"/>
  <c r="D935" i="1" s="1"/>
  <c r="C931" i="1"/>
  <c r="C935" i="1" s="1"/>
  <c r="B931" i="1"/>
  <c r="B935" i="1" s="1"/>
  <c r="J930" i="1"/>
  <c r="J929" i="1"/>
  <c r="J928" i="1"/>
  <c r="J927" i="1"/>
  <c r="J926" i="1"/>
  <c r="J925" i="1"/>
  <c r="J924" i="1"/>
  <c r="J923" i="1"/>
  <c r="J922" i="1"/>
  <c r="J921" i="1"/>
  <c r="I918" i="1"/>
  <c r="H918" i="1"/>
  <c r="G918" i="1"/>
  <c r="F918" i="1"/>
  <c r="E918" i="1"/>
  <c r="D918" i="1"/>
  <c r="C918" i="1"/>
  <c r="B918" i="1"/>
  <c r="J917" i="1"/>
  <c r="J916" i="1"/>
  <c r="I915" i="1"/>
  <c r="I919" i="1" s="1"/>
  <c r="H915" i="1"/>
  <c r="H919" i="1" s="1"/>
  <c r="G915" i="1"/>
  <c r="G919" i="1" s="1"/>
  <c r="F915" i="1"/>
  <c r="F919" i="1" s="1"/>
  <c r="E915" i="1"/>
  <c r="E919" i="1" s="1"/>
  <c r="D915" i="1"/>
  <c r="C915" i="1"/>
  <c r="C919" i="1" s="1"/>
  <c r="B915" i="1"/>
  <c r="B919" i="1" s="1"/>
  <c r="J914" i="1"/>
  <c r="J913" i="1"/>
  <c r="J912" i="1"/>
  <c r="J911" i="1"/>
  <c r="J910" i="1"/>
  <c r="J909" i="1"/>
  <c r="J908" i="1"/>
  <c r="J907" i="1"/>
  <c r="J906" i="1"/>
  <c r="J905" i="1"/>
  <c r="I902" i="1"/>
  <c r="H902" i="1"/>
  <c r="G902" i="1"/>
  <c r="F902" i="1"/>
  <c r="E902" i="1"/>
  <c r="D902" i="1"/>
  <c r="C902" i="1"/>
  <c r="B902" i="1"/>
  <c r="J901" i="1"/>
  <c r="J900" i="1"/>
  <c r="I899" i="1"/>
  <c r="I903" i="1" s="1"/>
  <c r="H899" i="1"/>
  <c r="H903" i="1" s="1"/>
  <c r="G899" i="1"/>
  <c r="G903" i="1" s="1"/>
  <c r="F899" i="1"/>
  <c r="F903" i="1" s="1"/>
  <c r="E899" i="1"/>
  <c r="E903" i="1" s="1"/>
  <c r="D899" i="1"/>
  <c r="D903" i="1" s="1"/>
  <c r="C899" i="1"/>
  <c r="C903" i="1" s="1"/>
  <c r="B899" i="1"/>
  <c r="B903" i="1" s="1"/>
  <c r="J898" i="1"/>
  <c r="J897" i="1"/>
  <c r="J896" i="1"/>
  <c r="J895" i="1"/>
  <c r="J894" i="1"/>
  <c r="J893" i="1"/>
  <c r="J892" i="1"/>
  <c r="J891" i="1"/>
  <c r="J890" i="1"/>
  <c r="J889" i="1"/>
  <c r="I886" i="1"/>
  <c r="H886" i="1"/>
  <c r="G886" i="1"/>
  <c r="F886" i="1"/>
  <c r="E886" i="1"/>
  <c r="D886" i="1"/>
  <c r="C886" i="1"/>
  <c r="B886" i="1"/>
  <c r="J885" i="1"/>
  <c r="J884" i="1"/>
  <c r="I883" i="1"/>
  <c r="H883" i="1"/>
  <c r="H887" i="1" s="1"/>
  <c r="G883" i="1"/>
  <c r="G887" i="1" s="1"/>
  <c r="F883" i="1"/>
  <c r="F887" i="1" s="1"/>
  <c r="E883" i="1"/>
  <c r="E887" i="1" s="1"/>
  <c r="D883" i="1"/>
  <c r="C883" i="1"/>
  <c r="C887" i="1" s="1"/>
  <c r="B883" i="1"/>
  <c r="B887" i="1" s="1"/>
  <c r="J882" i="1"/>
  <c r="J881" i="1"/>
  <c r="J880" i="1"/>
  <c r="J879" i="1"/>
  <c r="J878" i="1"/>
  <c r="J877" i="1"/>
  <c r="J876" i="1"/>
  <c r="J875" i="1"/>
  <c r="J874" i="1"/>
  <c r="J873" i="1"/>
  <c r="I870" i="1"/>
  <c r="H870" i="1"/>
  <c r="G870" i="1"/>
  <c r="F870" i="1"/>
  <c r="E870" i="1"/>
  <c r="D870" i="1"/>
  <c r="C870" i="1"/>
  <c r="B870" i="1"/>
  <c r="J869" i="1"/>
  <c r="J868" i="1"/>
  <c r="I867" i="1"/>
  <c r="I871" i="1" s="1"/>
  <c r="H867" i="1"/>
  <c r="H871" i="1" s="1"/>
  <c r="G867" i="1"/>
  <c r="G871" i="1" s="1"/>
  <c r="F867" i="1"/>
  <c r="F871" i="1" s="1"/>
  <c r="E867" i="1"/>
  <c r="E871" i="1" s="1"/>
  <c r="D867" i="1"/>
  <c r="D871" i="1" s="1"/>
  <c r="C867" i="1"/>
  <c r="C871" i="1" s="1"/>
  <c r="B867" i="1"/>
  <c r="B871" i="1" s="1"/>
  <c r="J866" i="1"/>
  <c r="J865" i="1"/>
  <c r="J864" i="1"/>
  <c r="J863" i="1"/>
  <c r="J862" i="1"/>
  <c r="J861" i="1"/>
  <c r="J860" i="1"/>
  <c r="J859" i="1"/>
  <c r="J858" i="1"/>
  <c r="J857" i="1"/>
  <c r="I854" i="1"/>
  <c r="H854" i="1"/>
  <c r="G854" i="1"/>
  <c r="F854" i="1"/>
  <c r="E854" i="1"/>
  <c r="D854" i="1"/>
  <c r="C854" i="1"/>
  <c r="B854" i="1"/>
  <c r="J853" i="1"/>
  <c r="J852" i="1"/>
  <c r="I851" i="1"/>
  <c r="I855" i="1" s="1"/>
  <c r="H851" i="1"/>
  <c r="H855" i="1" s="1"/>
  <c r="G851" i="1"/>
  <c r="G855" i="1" s="1"/>
  <c r="F851" i="1"/>
  <c r="F855" i="1" s="1"/>
  <c r="E851" i="1"/>
  <c r="E855" i="1" s="1"/>
  <c r="D851" i="1"/>
  <c r="C851" i="1"/>
  <c r="C855" i="1" s="1"/>
  <c r="B851" i="1"/>
  <c r="B855" i="1" s="1"/>
  <c r="J850" i="1"/>
  <c r="J849" i="1"/>
  <c r="J848" i="1"/>
  <c r="J847" i="1"/>
  <c r="J846" i="1"/>
  <c r="J845" i="1"/>
  <c r="J844" i="1"/>
  <c r="J843" i="1"/>
  <c r="J842" i="1"/>
  <c r="J841" i="1"/>
  <c r="I838" i="1"/>
  <c r="H838" i="1"/>
  <c r="G838" i="1"/>
  <c r="F838" i="1"/>
  <c r="E838" i="1"/>
  <c r="D838" i="1"/>
  <c r="C838" i="1"/>
  <c r="B838" i="1"/>
  <c r="J837" i="1"/>
  <c r="J836" i="1"/>
  <c r="I835" i="1"/>
  <c r="I839" i="1" s="1"/>
  <c r="H835" i="1"/>
  <c r="H839" i="1" s="1"/>
  <c r="G835" i="1"/>
  <c r="G839" i="1" s="1"/>
  <c r="F835" i="1"/>
  <c r="F839" i="1" s="1"/>
  <c r="E835" i="1"/>
  <c r="E839" i="1" s="1"/>
  <c r="D835" i="1"/>
  <c r="D839" i="1" s="1"/>
  <c r="C835" i="1"/>
  <c r="C839" i="1" s="1"/>
  <c r="B835" i="1"/>
  <c r="B839" i="1" s="1"/>
  <c r="J834" i="1"/>
  <c r="J833" i="1"/>
  <c r="J832" i="1"/>
  <c r="J831" i="1"/>
  <c r="J830" i="1"/>
  <c r="J829" i="1"/>
  <c r="J828" i="1"/>
  <c r="J827" i="1"/>
  <c r="J826" i="1"/>
  <c r="J825" i="1"/>
  <c r="I822" i="1"/>
  <c r="H822" i="1"/>
  <c r="G822" i="1"/>
  <c r="F822" i="1"/>
  <c r="E822" i="1"/>
  <c r="D822" i="1"/>
  <c r="C822" i="1"/>
  <c r="B822" i="1"/>
  <c r="J821" i="1"/>
  <c r="J820" i="1"/>
  <c r="I819" i="1"/>
  <c r="I823" i="1" s="1"/>
  <c r="H819" i="1"/>
  <c r="H823" i="1" s="1"/>
  <c r="G823" i="1"/>
  <c r="F819" i="1"/>
  <c r="F823" i="1" s="1"/>
  <c r="E819" i="1"/>
  <c r="E823" i="1" s="1"/>
  <c r="D819" i="1"/>
  <c r="D823" i="1" s="1"/>
  <c r="C819" i="1"/>
  <c r="C823" i="1" s="1"/>
  <c r="B819" i="1"/>
  <c r="B823" i="1" s="1"/>
  <c r="J818" i="1"/>
  <c r="J817" i="1"/>
  <c r="J816" i="1"/>
  <c r="J815" i="1"/>
  <c r="J814" i="1"/>
  <c r="J813" i="1"/>
  <c r="J812" i="1"/>
  <c r="J811" i="1"/>
  <c r="J810" i="1"/>
  <c r="J809" i="1"/>
  <c r="I806" i="1"/>
  <c r="H806" i="1"/>
  <c r="G806" i="1"/>
  <c r="F806" i="1"/>
  <c r="E806" i="1"/>
  <c r="D806" i="1"/>
  <c r="C806" i="1"/>
  <c r="B806" i="1"/>
  <c r="J805" i="1"/>
  <c r="J804" i="1"/>
  <c r="I803" i="1"/>
  <c r="I807" i="1" s="1"/>
  <c r="H803" i="1"/>
  <c r="H807" i="1" s="1"/>
  <c r="G803" i="1"/>
  <c r="G807" i="1" s="1"/>
  <c r="F803" i="1"/>
  <c r="F807" i="1" s="1"/>
  <c r="E803" i="1"/>
  <c r="E807" i="1" s="1"/>
  <c r="D803" i="1"/>
  <c r="D807" i="1" s="1"/>
  <c r="C803" i="1"/>
  <c r="C807" i="1" s="1"/>
  <c r="B803" i="1"/>
  <c r="B807" i="1" s="1"/>
  <c r="J802" i="1"/>
  <c r="J801" i="1"/>
  <c r="J800" i="1"/>
  <c r="J799" i="1"/>
  <c r="J798" i="1"/>
  <c r="J797" i="1"/>
  <c r="J796" i="1"/>
  <c r="J795" i="1"/>
  <c r="J794" i="1"/>
  <c r="J793" i="1"/>
  <c r="I790" i="1"/>
  <c r="H790" i="1"/>
  <c r="G790" i="1"/>
  <c r="F790" i="1"/>
  <c r="E790" i="1"/>
  <c r="D790" i="1"/>
  <c r="C790" i="1"/>
  <c r="B790" i="1"/>
  <c r="J789" i="1"/>
  <c r="J788" i="1"/>
  <c r="I787" i="1"/>
  <c r="I791" i="1" s="1"/>
  <c r="H787" i="1"/>
  <c r="H791" i="1" s="1"/>
  <c r="G787" i="1"/>
  <c r="G791" i="1" s="1"/>
  <c r="F787" i="1"/>
  <c r="F791" i="1" s="1"/>
  <c r="E787" i="1"/>
  <c r="E791" i="1" s="1"/>
  <c r="D787" i="1"/>
  <c r="D791" i="1" s="1"/>
  <c r="C787" i="1"/>
  <c r="C791" i="1" s="1"/>
  <c r="B787" i="1"/>
  <c r="B791" i="1" s="1"/>
  <c r="J786" i="1"/>
  <c r="J785" i="1"/>
  <c r="J784" i="1"/>
  <c r="J783" i="1"/>
  <c r="J782" i="1"/>
  <c r="J781" i="1"/>
  <c r="J780" i="1"/>
  <c r="J779" i="1"/>
  <c r="J778" i="1"/>
  <c r="J777" i="1"/>
  <c r="I774" i="1"/>
  <c r="H774" i="1"/>
  <c r="G774" i="1"/>
  <c r="F774" i="1"/>
  <c r="E774" i="1"/>
  <c r="D774" i="1"/>
  <c r="C774" i="1"/>
  <c r="B774" i="1"/>
  <c r="J773" i="1"/>
  <c r="J772" i="1"/>
  <c r="I771" i="1"/>
  <c r="I775" i="1" s="1"/>
  <c r="H771" i="1"/>
  <c r="H775" i="1" s="1"/>
  <c r="G771" i="1"/>
  <c r="G775" i="1" s="1"/>
  <c r="F771" i="1"/>
  <c r="F775" i="1" s="1"/>
  <c r="E771" i="1"/>
  <c r="E775" i="1" s="1"/>
  <c r="D771" i="1"/>
  <c r="D775" i="1" s="1"/>
  <c r="C771" i="1"/>
  <c r="C775" i="1" s="1"/>
  <c r="B771" i="1"/>
  <c r="B775" i="1" s="1"/>
  <c r="J770" i="1"/>
  <c r="J769" i="1"/>
  <c r="J768" i="1"/>
  <c r="J767" i="1"/>
  <c r="J766" i="1"/>
  <c r="J765" i="1"/>
  <c r="J764" i="1"/>
  <c r="J763" i="1"/>
  <c r="J762" i="1"/>
  <c r="J761" i="1"/>
  <c r="I758" i="1"/>
  <c r="H758" i="1"/>
  <c r="G758" i="1"/>
  <c r="F758" i="1"/>
  <c r="E758" i="1"/>
  <c r="D758" i="1"/>
  <c r="C758" i="1"/>
  <c r="B758" i="1"/>
  <c r="J757" i="1"/>
  <c r="J756" i="1"/>
  <c r="I755" i="1"/>
  <c r="H755" i="1"/>
  <c r="H759" i="1" s="1"/>
  <c r="G755" i="1"/>
  <c r="G759" i="1" s="1"/>
  <c r="F755" i="1"/>
  <c r="F759" i="1" s="1"/>
  <c r="E755" i="1"/>
  <c r="E759" i="1" s="1"/>
  <c r="C755" i="1"/>
  <c r="B755" i="1"/>
  <c r="B759" i="1" s="1"/>
  <c r="J754" i="1"/>
  <c r="J753" i="1"/>
  <c r="J752" i="1"/>
  <c r="J751" i="1"/>
  <c r="J750" i="1"/>
  <c r="J749" i="1"/>
  <c r="J748" i="1"/>
  <c r="J747" i="1"/>
  <c r="J746" i="1"/>
  <c r="J745" i="1"/>
  <c r="I742" i="1"/>
  <c r="H742" i="1"/>
  <c r="G742" i="1"/>
  <c r="F742" i="1"/>
  <c r="E742" i="1"/>
  <c r="D742" i="1"/>
  <c r="C742" i="1"/>
  <c r="B742" i="1"/>
  <c r="J741" i="1"/>
  <c r="J740" i="1"/>
  <c r="I739" i="1"/>
  <c r="I743" i="1" s="1"/>
  <c r="H739" i="1"/>
  <c r="H743" i="1" s="1"/>
  <c r="G739" i="1"/>
  <c r="G743" i="1" s="1"/>
  <c r="F739" i="1"/>
  <c r="F743" i="1" s="1"/>
  <c r="E739" i="1"/>
  <c r="E743" i="1" s="1"/>
  <c r="D739" i="1"/>
  <c r="C739" i="1"/>
  <c r="C743" i="1" s="1"/>
  <c r="B739" i="1"/>
  <c r="B743" i="1" s="1"/>
  <c r="J738" i="1"/>
  <c r="J737" i="1"/>
  <c r="J736" i="1"/>
  <c r="J735" i="1"/>
  <c r="J734" i="1"/>
  <c r="J733" i="1"/>
  <c r="J732" i="1"/>
  <c r="J731" i="1"/>
  <c r="J730" i="1"/>
  <c r="J729" i="1"/>
  <c r="I726" i="1"/>
  <c r="H726" i="1"/>
  <c r="G726" i="1"/>
  <c r="F726" i="1"/>
  <c r="E726" i="1"/>
  <c r="D726" i="1"/>
  <c r="C726" i="1"/>
  <c r="B726" i="1"/>
  <c r="J725" i="1"/>
  <c r="J724" i="1"/>
  <c r="I723" i="1"/>
  <c r="I727" i="1" s="1"/>
  <c r="H723" i="1"/>
  <c r="H727" i="1" s="1"/>
  <c r="G723" i="1"/>
  <c r="G727" i="1" s="1"/>
  <c r="F723" i="1"/>
  <c r="F727" i="1" s="1"/>
  <c r="E723" i="1"/>
  <c r="E727" i="1" s="1"/>
  <c r="D723" i="1"/>
  <c r="C723" i="1"/>
  <c r="C727" i="1" s="1"/>
  <c r="B723" i="1"/>
  <c r="B727" i="1" s="1"/>
  <c r="J722" i="1"/>
  <c r="J721" i="1"/>
  <c r="J720" i="1"/>
  <c r="J719" i="1"/>
  <c r="J718" i="1"/>
  <c r="J717" i="1"/>
  <c r="J716" i="1"/>
  <c r="J715" i="1"/>
  <c r="J714" i="1"/>
  <c r="J713" i="1"/>
  <c r="I710" i="1"/>
  <c r="H710" i="1"/>
  <c r="G710" i="1"/>
  <c r="F710" i="1"/>
  <c r="E710" i="1"/>
  <c r="D710" i="1"/>
  <c r="C710" i="1"/>
  <c r="B710" i="1"/>
  <c r="J709" i="1"/>
  <c r="J708" i="1"/>
  <c r="I707" i="1"/>
  <c r="I711" i="1" s="1"/>
  <c r="H707" i="1"/>
  <c r="H711" i="1" s="1"/>
  <c r="G707" i="1"/>
  <c r="G711" i="1" s="1"/>
  <c r="F707" i="1"/>
  <c r="F711" i="1" s="1"/>
  <c r="E707" i="1"/>
  <c r="E711" i="1" s="1"/>
  <c r="D707" i="1"/>
  <c r="D711" i="1" s="1"/>
  <c r="C707" i="1"/>
  <c r="C711" i="1" s="1"/>
  <c r="B707" i="1"/>
  <c r="B711" i="1" s="1"/>
  <c r="J706" i="1"/>
  <c r="J705" i="1"/>
  <c r="J704" i="1"/>
  <c r="J703" i="1"/>
  <c r="J702" i="1"/>
  <c r="J701" i="1"/>
  <c r="J700" i="1"/>
  <c r="J699" i="1"/>
  <c r="J698" i="1"/>
  <c r="J697" i="1"/>
  <c r="I694" i="1"/>
  <c r="H694" i="1"/>
  <c r="G694" i="1"/>
  <c r="F694" i="1"/>
  <c r="E694" i="1"/>
  <c r="D694" i="1"/>
  <c r="C694" i="1"/>
  <c r="B694" i="1"/>
  <c r="J693" i="1"/>
  <c r="J692" i="1"/>
  <c r="I691" i="1"/>
  <c r="I695" i="1" s="1"/>
  <c r="H691" i="1"/>
  <c r="H695" i="1" s="1"/>
  <c r="G691" i="1"/>
  <c r="G695" i="1" s="1"/>
  <c r="F691" i="1"/>
  <c r="F695" i="1" s="1"/>
  <c r="E691" i="1"/>
  <c r="E695" i="1" s="1"/>
  <c r="D691" i="1"/>
  <c r="D695" i="1" s="1"/>
  <c r="C691" i="1"/>
  <c r="B691" i="1"/>
  <c r="B695" i="1" s="1"/>
  <c r="J690" i="1"/>
  <c r="J689" i="1"/>
  <c r="J688" i="1"/>
  <c r="J687" i="1"/>
  <c r="J686" i="1"/>
  <c r="J685" i="1"/>
  <c r="J684" i="1"/>
  <c r="J683" i="1"/>
  <c r="J682" i="1"/>
  <c r="J681" i="1"/>
  <c r="I678" i="1"/>
  <c r="H678" i="1"/>
  <c r="G678" i="1"/>
  <c r="F678" i="1"/>
  <c r="E678" i="1"/>
  <c r="D678" i="1"/>
  <c r="C678" i="1"/>
  <c r="B678" i="1"/>
  <c r="J677" i="1"/>
  <c r="J676" i="1"/>
  <c r="I675" i="1"/>
  <c r="I679" i="1" s="1"/>
  <c r="H675" i="1"/>
  <c r="H679" i="1" s="1"/>
  <c r="G675" i="1"/>
  <c r="G679" i="1" s="1"/>
  <c r="F675" i="1"/>
  <c r="F679" i="1" s="1"/>
  <c r="E675" i="1"/>
  <c r="E679" i="1" s="1"/>
  <c r="D675" i="1"/>
  <c r="D679" i="1" s="1"/>
  <c r="C675" i="1"/>
  <c r="C679" i="1" s="1"/>
  <c r="B675" i="1"/>
  <c r="B679" i="1" s="1"/>
  <c r="J674" i="1"/>
  <c r="J673" i="1"/>
  <c r="J672" i="1"/>
  <c r="J671" i="1"/>
  <c r="J670" i="1"/>
  <c r="J669" i="1"/>
  <c r="J668" i="1"/>
  <c r="J667" i="1"/>
  <c r="J666" i="1"/>
  <c r="J665" i="1"/>
  <c r="I646" i="1"/>
  <c r="H646" i="1"/>
  <c r="G646" i="1"/>
  <c r="F646" i="1"/>
  <c r="E646" i="1"/>
  <c r="D646" i="1"/>
  <c r="C646" i="1"/>
  <c r="B646" i="1"/>
  <c r="J645" i="1"/>
  <c r="J644" i="1"/>
  <c r="I643" i="1"/>
  <c r="I647" i="1" s="1"/>
  <c r="H643" i="1"/>
  <c r="H647" i="1" s="1"/>
  <c r="G643" i="1"/>
  <c r="G647" i="1" s="1"/>
  <c r="F643" i="1"/>
  <c r="F647" i="1" s="1"/>
  <c r="E643" i="1"/>
  <c r="E647" i="1" s="1"/>
  <c r="D643" i="1"/>
  <c r="D647" i="1" s="1"/>
  <c r="C643" i="1"/>
  <c r="C647" i="1" s="1"/>
  <c r="B643" i="1"/>
  <c r="B647" i="1" s="1"/>
  <c r="J642" i="1"/>
  <c r="J641" i="1"/>
  <c r="J640" i="1"/>
  <c r="J639" i="1"/>
  <c r="J638" i="1"/>
  <c r="J637" i="1"/>
  <c r="J636" i="1"/>
  <c r="J635" i="1"/>
  <c r="J634" i="1"/>
  <c r="J633" i="1"/>
  <c r="I630" i="1"/>
  <c r="H630" i="1"/>
  <c r="G630" i="1"/>
  <c r="F630" i="1"/>
  <c r="E630" i="1"/>
  <c r="D630" i="1"/>
  <c r="C630" i="1"/>
  <c r="B630" i="1"/>
  <c r="J629" i="1"/>
  <c r="J628" i="1"/>
  <c r="I627" i="1"/>
  <c r="I631" i="1" s="1"/>
  <c r="H627" i="1"/>
  <c r="H631" i="1" s="1"/>
  <c r="G627" i="1"/>
  <c r="G631" i="1" s="1"/>
  <c r="F627" i="1"/>
  <c r="F631" i="1" s="1"/>
  <c r="E627" i="1"/>
  <c r="E631" i="1" s="1"/>
  <c r="D627" i="1"/>
  <c r="D631" i="1" s="1"/>
  <c r="C627" i="1"/>
  <c r="C631" i="1" s="1"/>
  <c r="B627" i="1"/>
  <c r="B631" i="1" s="1"/>
  <c r="J626" i="1"/>
  <c r="J625" i="1"/>
  <c r="J624" i="1"/>
  <c r="J623" i="1"/>
  <c r="J622" i="1"/>
  <c r="J621" i="1"/>
  <c r="J620" i="1"/>
  <c r="J619" i="1"/>
  <c r="J618" i="1"/>
  <c r="J617" i="1"/>
  <c r="I614" i="1"/>
  <c r="H614" i="1"/>
  <c r="G614" i="1"/>
  <c r="F614" i="1"/>
  <c r="E614" i="1"/>
  <c r="D614" i="1"/>
  <c r="C614" i="1"/>
  <c r="B614" i="1"/>
  <c r="J613" i="1"/>
  <c r="J612" i="1"/>
  <c r="I611" i="1"/>
  <c r="I615" i="1" s="1"/>
  <c r="H611" i="1"/>
  <c r="H615" i="1" s="1"/>
  <c r="G611" i="1"/>
  <c r="G615" i="1" s="1"/>
  <c r="F611" i="1"/>
  <c r="F615" i="1" s="1"/>
  <c r="E611" i="1"/>
  <c r="E615" i="1" s="1"/>
  <c r="D611" i="1"/>
  <c r="C611" i="1"/>
  <c r="C615" i="1" s="1"/>
  <c r="B611" i="1"/>
  <c r="B615" i="1" s="1"/>
  <c r="J610" i="1"/>
  <c r="J609" i="1"/>
  <c r="J608" i="1"/>
  <c r="J607" i="1"/>
  <c r="J606" i="1"/>
  <c r="J605" i="1"/>
  <c r="J604" i="1"/>
  <c r="J603" i="1"/>
  <c r="J602" i="1"/>
  <c r="J601" i="1"/>
  <c r="I598" i="1"/>
  <c r="H598" i="1"/>
  <c r="G598" i="1"/>
  <c r="F598" i="1"/>
  <c r="E598" i="1"/>
  <c r="D598" i="1"/>
  <c r="C598" i="1"/>
  <c r="B598" i="1"/>
  <c r="J597" i="1"/>
  <c r="J596" i="1"/>
  <c r="I595" i="1"/>
  <c r="I599" i="1" s="1"/>
  <c r="H595" i="1"/>
  <c r="H599" i="1" s="1"/>
  <c r="G595" i="1"/>
  <c r="F595" i="1"/>
  <c r="F599" i="1" s="1"/>
  <c r="E595" i="1"/>
  <c r="E599" i="1" s="1"/>
  <c r="D595" i="1"/>
  <c r="D599" i="1" s="1"/>
  <c r="C595" i="1"/>
  <c r="C599" i="1" s="1"/>
  <c r="B595" i="1"/>
  <c r="B599" i="1" s="1"/>
  <c r="J594" i="1"/>
  <c r="J593" i="1"/>
  <c r="J592" i="1"/>
  <c r="J591" i="1"/>
  <c r="J590" i="1"/>
  <c r="J589" i="1"/>
  <c r="J588" i="1"/>
  <c r="J587" i="1"/>
  <c r="J586" i="1"/>
  <c r="J585" i="1"/>
  <c r="I582" i="1"/>
  <c r="H582" i="1"/>
  <c r="G582" i="1"/>
  <c r="F582" i="1"/>
  <c r="E582" i="1"/>
  <c r="D582" i="1"/>
  <c r="C582" i="1"/>
  <c r="B582" i="1"/>
  <c r="J581" i="1"/>
  <c r="J580" i="1"/>
  <c r="I579" i="1"/>
  <c r="I583" i="1" s="1"/>
  <c r="H579" i="1"/>
  <c r="H583" i="1" s="1"/>
  <c r="G579" i="1"/>
  <c r="G583" i="1" s="1"/>
  <c r="F579" i="1"/>
  <c r="F583" i="1" s="1"/>
  <c r="E579" i="1"/>
  <c r="E583" i="1" s="1"/>
  <c r="D579" i="1"/>
  <c r="D583" i="1" s="1"/>
  <c r="C579" i="1"/>
  <c r="C583" i="1" s="1"/>
  <c r="B579" i="1"/>
  <c r="B583" i="1" s="1"/>
  <c r="J578" i="1"/>
  <c r="J577" i="1"/>
  <c r="J576" i="1"/>
  <c r="J575" i="1"/>
  <c r="J574" i="1"/>
  <c r="J573" i="1"/>
  <c r="J572" i="1"/>
  <c r="J571" i="1"/>
  <c r="J570" i="1"/>
  <c r="J569" i="1"/>
  <c r="I566" i="1"/>
  <c r="H566" i="1"/>
  <c r="G566" i="1"/>
  <c r="F566" i="1"/>
  <c r="E566" i="1"/>
  <c r="D566" i="1"/>
  <c r="C566" i="1"/>
  <c r="B566" i="1"/>
  <c r="J565" i="1"/>
  <c r="J564" i="1"/>
  <c r="I563" i="1"/>
  <c r="I567" i="1" s="1"/>
  <c r="H563" i="1"/>
  <c r="H567" i="1" s="1"/>
  <c r="G563" i="1"/>
  <c r="G567" i="1" s="1"/>
  <c r="F563" i="1"/>
  <c r="F567" i="1" s="1"/>
  <c r="E563" i="1"/>
  <c r="E567" i="1" s="1"/>
  <c r="D563" i="1"/>
  <c r="C563" i="1"/>
  <c r="C567" i="1" s="1"/>
  <c r="B563" i="1"/>
  <c r="B567" i="1" s="1"/>
  <c r="J562" i="1"/>
  <c r="J561" i="1"/>
  <c r="J560" i="1"/>
  <c r="J559" i="1"/>
  <c r="J558" i="1"/>
  <c r="J557" i="1"/>
  <c r="J556" i="1"/>
  <c r="J555" i="1"/>
  <c r="J554" i="1"/>
  <c r="J553" i="1"/>
  <c r="I550" i="1"/>
  <c r="H550" i="1"/>
  <c r="G550" i="1"/>
  <c r="F550" i="1"/>
  <c r="E550" i="1"/>
  <c r="D550" i="1"/>
  <c r="C550" i="1"/>
  <c r="B550" i="1"/>
  <c r="J549" i="1"/>
  <c r="J548" i="1"/>
  <c r="I547" i="1"/>
  <c r="I551" i="1" s="1"/>
  <c r="H547" i="1"/>
  <c r="H551" i="1" s="1"/>
  <c r="G547" i="1"/>
  <c r="G551" i="1" s="1"/>
  <c r="F547" i="1"/>
  <c r="F551" i="1" s="1"/>
  <c r="E547" i="1"/>
  <c r="E551" i="1" s="1"/>
  <c r="D547" i="1"/>
  <c r="D551" i="1" s="1"/>
  <c r="C547" i="1"/>
  <c r="C551" i="1" s="1"/>
  <c r="B547" i="1"/>
  <c r="B551" i="1" s="1"/>
  <c r="J546" i="1"/>
  <c r="J545" i="1"/>
  <c r="J544" i="1"/>
  <c r="J543" i="1"/>
  <c r="J542" i="1"/>
  <c r="J541" i="1"/>
  <c r="J540" i="1"/>
  <c r="J539" i="1"/>
  <c r="J538" i="1"/>
  <c r="J537" i="1"/>
  <c r="I534" i="1"/>
  <c r="H534" i="1"/>
  <c r="G534" i="1"/>
  <c r="F534" i="1"/>
  <c r="E534" i="1"/>
  <c r="D534" i="1"/>
  <c r="C534" i="1"/>
  <c r="B534" i="1"/>
  <c r="J533" i="1"/>
  <c r="J532" i="1"/>
  <c r="I531" i="1"/>
  <c r="I535" i="1" s="1"/>
  <c r="H531" i="1"/>
  <c r="H535" i="1" s="1"/>
  <c r="G531" i="1"/>
  <c r="G535" i="1" s="1"/>
  <c r="F531" i="1"/>
  <c r="F535" i="1" s="1"/>
  <c r="E531" i="1"/>
  <c r="E535" i="1" s="1"/>
  <c r="D531" i="1"/>
  <c r="D535" i="1" s="1"/>
  <c r="C531" i="1"/>
  <c r="C535" i="1" s="1"/>
  <c r="B531" i="1"/>
  <c r="B535" i="1" s="1"/>
  <c r="J530" i="1"/>
  <c r="J529" i="1"/>
  <c r="J528" i="1"/>
  <c r="J527" i="1"/>
  <c r="J526" i="1"/>
  <c r="J525" i="1"/>
  <c r="J524" i="1"/>
  <c r="J523" i="1"/>
  <c r="J522" i="1"/>
  <c r="J521" i="1"/>
  <c r="I518" i="1"/>
  <c r="H518" i="1"/>
  <c r="G518" i="1"/>
  <c r="F518" i="1"/>
  <c r="E518" i="1"/>
  <c r="D518" i="1"/>
  <c r="C518" i="1"/>
  <c r="B518" i="1"/>
  <c r="J517" i="1"/>
  <c r="J516" i="1"/>
  <c r="I515" i="1"/>
  <c r="I519" i="1" s="1"/>
  <c r="H515" i="1"/>
  <c r="H519" i="1" s="1"/>
  <c r="G515" i="1"/>
  <c r="G519" i="1" s="1"/>
  <c r="F515" i="1"/>
  <c r="F519" i="1" s="1"/>
  <c r="E515" i="1"/>
  <c r="E519" i="1" s="1"/>
  <c r="D515" i="1"/>
  <c r="D519" i="1" s="1"/>
  <c r="C515" i="1"/>
  <c r="C519" i="1" s="1"/>
  <c r="B515" i="1"/>
  <c r="B519" i="1" s="1"/>
  <c r="J514" i="1"/>
  <c r="J513" i="1"/>
  <c r="J512" i="1"/>
  <c r="J511" i="1"/>
  <c r="J510" i="1"/>
  <c r="J509" i="1"/>
  <c r="J508" i="1"/>
  <c r="J507" i="1"/>
  <c r="J506" i="1"/>
  <c r="J505" i="1"/>
  <c r="I502" i="1"/>
  <c r="H502" i="1"/>
  <c r="G502" i="1"/>
  <c r="F502" i="1"/>
  <c r="E502" i="1"/>
  <c r="D502" i="1"/>
  <c r="C502" i="1"/>
  <c r="B502" i="1"/>
  <c r="J501" i="1"/>
  <c r="J500" i="1"/>
  <c r="I499" i="1"/>
  <c r="I503" i="1" s="1"/>
  <c r="H499" i="1"/>
  <c r="H503" i="1" s="1"/>
  <c r="G499" i="1"/>
  <c r="G503" i="1" s="1"/>
  <c r="F499" i="1"/>
  <c r="F503" i="1" s="1"/>
  <c r="E499" i="1"/>
  <c r="E503" i="1" s="1"/>
  <c r="D499" i="1"/>
  <c r="D503" i="1" s="1"/>
  <c r="C499" i="1"/>
  <c r="C503" i="1" s="1"/>
  <c r="B499" i="1"/>
  <c r="B503" i="1" s="1"/>
  <c r="J498" i="1"/>
  <c r="J497" i="1"/>
  <c r="J496" i="1"/>
  <c r="J495" i="1"/>
  <c r="J494" i="1"/>
  <c r="J493" i="1"/>
  <c r="J492" i="1"/>
  <c r="J491" i="1"/>
  <c r="J490" i="1"/>
  <c r="J489" i="1"/>
  <c r="I486" i="1"/>
  <c r="H486" i="1"/>
  <c r="G486" i="1"/>
  <c r="F486" i="1"/>
  <c r="E486" i="1"/>
  <c r="D486" i="1"/>
  <c r="C486" i="1"/>
  <c r="B486" i="1"/>
  <c r="J485" i="1"/>
  <c r="J484" i="1"/>
  <c r="I483" i="1"/>
  <c r="I487" i="1" s="1"/>
  <c r="H483" i="1"/>
  <c r="H487" i="1" s="1"/>
  <c r="G483" i="1"/>
  <c r="G487" i="1" s="1"/>
  <c r="F483" i="1"/>
  <c r="F487" i="1" s="1"/>
  <c r="E483" i="1"/>
  <c r="E487" i="1" s="1"/>
  <c r="D483" i="1"/>
  <c r="D487" i="1" s="1"/>
  <c r="C483" i="1"/>
  <c r="C487" i="1" s="1"/>
  <c r="B483" i="1"/>
  <c r="B487" i="1" s="1"/>
  <c r="J482" i="1"/>
  <c r="J481" i="1"/>
  <c r="J480" i="1"/>
  <c r="J479" i="1"/>
  <c r="J478" i="1"/>
  <c r="J477" i="1"/>
  <c r="J476" i="1"/>
  <c r="J475" i="1"/>
  <c r="J474" i="1"/>
  <c r="J473" i="1"/>
  <c r="I470" i="1"/>
  <c r="H470" i="1"/>
  <c r="G470" i="1"/>
  <c r="F470" i="1"/>
  <c r="E470" i="1"/>
  <c r="D470" i="1"/>
  <c r="C470" i="1"/>
  <c r="B470" i="1"/>
  <c r="J469" i="1"/>
  <c r="J468" i="1"/>
  <c r="I467" i="1"/>
  <c r="I471" i="1" s="1"/>
  <c r="H467" i="1"/>
  <c r="H471" i="1" s="1"/>
  <c r="G467" i="1"/>
  <c r="G471" i="1" s="1"/>
  <c r="F467" i="1"/>
  <c r="F471" i="1" s="1"/>
  <c r="E467" i="1"/>
  <c r="E471" i="1" s="1"/>
  <c r="D467" i="1"/>
  <c r="D471" i="1" s="1"/>
  <c r="C467" i="1"/>
  <c r="C471" i="1" s="1"/>
  <c r="B467" i="1"/>
  <c r="B471" i="1" s="1"/>
  <c r="J466" i="1"/>
  <c r="J465" i="1"/>
  <c r="J464" i="1"/>
  <c r="J463" i="1"/>
  <c r="J462" i="1"/>
  <c r="J461" i="1"/>
  <c r="J460" i="1"/>
  <c r="J459" i="1"/>
  <c r="J458" i="1"/>
  <c r="J457" i="1"/>
  <c r="I454" i="1"/>
  <c r="H454" i="1"/>
  <c r="G454" i="1"/>
  <c r="F454" i="1"/>
  <c r="E454" i="1"/>
  <c r="D454" i="1"/>
  <c r="C454" i="1"/>
  <c r="B454" i="1"/>
  <c r="J453" i="1"/>
  <c r="J452" i="1"/>
  <c r="I451" i="1"/>
  <c r="I455" i="1" s="1"/>
  <c r="H451" i="1"/>
  <c r="H455" i="1" s="1"/>
  <c r="G451" i="1"/>
  <c r="F451" i="1"/>
  <c r="F455" i="1" s="1"/>
  <c r="E451" i="1"/>
  <c r="E455" i="1" s="1"/>
  <c r="D451" i="1"/>
  <c r="C451" i="1"/>
  <c r="C455" i="1" s="1"/>
  <c r="B451" i="1"/>
  <c r="B455" i="1" s="1"/>
  <c r="J450" i="1"/>
  <c r="J449" i="1"/>
  <c r="J448" i="1"/>
  <c r="J447" i="1"/>
  <c r="J446" i="1"/>
  <c r="J445" i="1"/>
  <c r="J444" i="1"/>
  <c r="J443" i="1"/>
  <c r="J442" i="1"/>
  <c r="J441" i="1"/>
  <c r="I438" i="1"/>
  <c r="H438" i="1"/>
  <c r="G438" i="1"/>
  <c r="F438" i="1"/>
  <c r="E438" i="1"/>
  <c r="D438" i="1"/>
  <c r="C438" i="1"/>
  <c r="B438" i="1"/>
  <c r="J437" i="1"/>
  <c r="J436" i="1"/>
  <c r="I435" i="1"/>
  <c r="I439" i="1" s="1"/>
  <c r="H435" i="1"/>
  <c r="H439" i="1" s="1"/>
  <c r="G435" i="1"/>
  <c r="G439" i="1" s="1"/>
  <c r="F435" i="1"/>
  <c r="F439" i="1" s="1"/>
  <c r="E435" i="1"/>
  <c r="E439" i="1" s="1"/>
  <c r="D435" i="1"/>
  <c r="D439" i="1" s="1"/>
  <c r="C435" i="1"/>
  <c r="C439" i="1" s="1"/>
  <c r="B435" i="1"/>
  <c r="B439" i="1" s="1"/>
  <c r="J434" i="1"/>
  <c r="J433" i="1"/>
  <c r="J432" i="1"/>
  <c r="J431" i="1"/>
  <c r="J430" i="1"/>
  <c r="J429" i="1"/>
  <c r="J428" i="1"/>
  <c r="J427" i="1"/>
  <c r="J426" i="1"/>
  <c r="J425" i="1"/>
  <c r="I422" i="1"/>
  <c r="H422" i="1"/>
  <c r="G422" i="1"/>
  <c r="F422" i="1"/>
  <c r="E422" i="1"/>
  <c r="D422" i="1"/>
  <c r="C422" i="1"/>
  <c r="B422" i="1"/>
  <c r="J421" i="1"/>
  <c r="J420" i="1"/>
  <c r="I419" i="1"/>
  <c r="I423" i="1" s="1"/>
  <c r="H419" i="1"/>
  <c r="H423" i="1" s="1"/>
  <c r="G419" i="1"/>
  <c r="F419" i="1"/>
  <c r="F423" i="1" s="1"/>
  <c r="E419" i="1"/>
  <c r="E423" i="1" s="1"/>
  <c r="D419" i="1"/>
  <c r="D423" i="1" s="1"/>
  <c r="C419" i="1"/>
  <c r="C423" i="1" s="1"/>
  <c r="B419" i="1"/>
  <c r="B423" i="1" s="1"/>
  <c r="J418" i="1"/>
  <c r="J417" i="1"/>
  <c r="J416" i="1"/>
  <c r="J415" i="1"/>
  <c r="J414" i="1"/>
  <c r="J413" i="1"/>
  <c r="J412" i="1"/>
  <c r="J411" i="1"/>
  <c r="J410" i="1"/>
  <c r="J409" i="1"/>
  <c r="I406" i="1"/>
  <c r="H406" i="1"/>
  <c r="G406" i="1"/>
  <c r="F406" i="1"/>
  <c r="E406" i="1"/>
  <c r="D406" i="1"/>
  <c r="C406" i="1"/>
  <c r="B406" i="1"/>
  <c r="J405" i="1"/>
  <c r="J404" i="1"/>
  <c r="I403" i="1"/>
  <c r="I407" i="1" s="1"/>
  <c r="H403" i="1"/>
  <c r="H407" i="1" s="1"/>
  <c r="G403" i="1"/>
  <c r="G407" i="1" s="1"/>
  <c r="F403" i="1"/>
  <c r="F407" i="1" s="1"/>
  <c r="E403" i="1"/>
  <c r="E407" i="1" s="1"/>
  <c r="D403" i="1"/>
  <c r="C403" i="1"/>
  <c r="C407" i="1" s="1"/>
  <c r="B403" i="1"/>
  <c r="B407" i="1" s="1"/>
  <c r="J402" i="1"/>
  <c r="J401" i="1"/>
  <c r="J400" i="1"/>
  <c r="J399" i="1"/>
  <c r="J398" i="1"/>
  <c r="J397" i="1"/>
  <c r="J396" i="1"/>
  <c r="J395" i="1"/>
  <c r="J394" i="1"/>
  <c r="J393" i="1"/>
  <c r="I390" i="1"/>
  <c r="H390" i="1"/>
  <c r="G390" i="1"/>
  <c r="F390" i="1"/>
  <c r="E390" i="1"/>
  <c r="D390" i="1"/>
  <c r="C390" i="1"/>
  <c r="B390" i="1"/>
  <c r="J389" i="1"/>
  <c r="J388" i="1"/>
  <c r="I387" i="1"/>
  <c r="I391" i="1" s="1"/>
  <c r="H387" i="1"/>
  <c r="H391" i="1" s="1"/>
  <c r="G387" i="1"/>
  <c r="F387" i="1"/>
  <c r="F391" i="1" s="1"/>
  <c r="E387" i="1"/>
  <c r="E391" i="1" s="1"/>
  <c r="D387" i="1"/>
  <c r="C387" i="1"/>
  <c r="C391" i="1" s="1"/>
  <c r="B387" i="1"/>
  <c r="B391" i="1" s="1"/>
  <c r="J386" i="1"/>
  <c r="J385" i="1"/>
  <c r="J384" i="1"/>
  <c r="J383" i="1"/>
  <c r="J382" i="1"/>
  <c r="J381" i="1"/>
  <c r="J380" i="1"/>
  <c r="J379" i="1"/>
  <c r="J378" i="1"/>
  <c r="J377" i="1"/>
  <c r="I374" i="1"/>
  <c r="H374" i="1"/>
  <c r="G374" i="1"/>
  <c r="F374" i="1"/>
  <c r="E374" i="1"/>
  <c r="D374" i="1"/>
  <c r="C374" i="1"/>
  <c r="B374" i="1"/>
  <c r="J373" i="1"/>
  <c r="J372" i="1"/>
  <c r="I371" i="1"/>
  <c r="I375" i="1" s="1"/>
  <c r="H371" i="1"/>
  <c r="H375" i="1" s="1"/>
  <c r="G371" i="1"/>
  <c r="G375" i="1" s="1"/>
  <c r="F371" i="1"/>
  <c r="F375" i="1" s="1"/>
  <c r="E371" i="1"/>
  <c r="E375" i="1" s="1"/>
  <c r="D371" i="1"/>
  <c r="D375" i="1" s="1"/>
  <c r="C371" i="1"/>
  <c r="C375" i="1" s="1"/>
  <c r="B371" i="1"/>
  <c r="B375" i="1" s="1"/>
  <c r="J370" i="1"/>
  <c r="J369" i="1"/>
  <c r="J368" i="1"/>
  <c r="J367" i="1"/>
  <c r="J366" i="1"/>
  <c r="J365" i="1"/>
  <c r="J364" i="1"/>
  <c r="J363" i="1"/>
  <c r="J362" i="1"/>
  <c r="J361" i="1"/>
  <c r="I358" i="1"/>
  <c r="H358" i="1"/>
  <c r="G358" i="1"/>
  <c r="F358" i="1"/>
  <c r="E358" i="1"/>
  <c r="D358" i="1"/>
  <c r="C358" i="1"/>
  <c r="B358" i="1"/>
  <c r="J357" i="1"/>
  <c r="J356" i="1"/>
  <c r="I355" i="1"/>
  <c r="I359" i="1" s="1"/>
  <c r="H355" i="1"/>
  <c r="H359" i="1" s="1"/>
  <c r="G355" i="1"/>
  <c r="G359" i="1" s="1"/>
  <c r="F355" i="1"/>
  <c r="F359" i="1" s="1"/>
  <c r="E355" i="1"/>
  <c r="E359" i="1" s="1"/>
  <c r="D355" i="1"/>
  <c r="D359" i="1" s="1"/>
  <c r="C355" i="1"/>
  <c r="C359" i="1" s="1"/>
  <c r="B355" i="1"/>
  <c r="B359" i="1" s="1"/>
  <c r="J354" i="1"/>
  <c r="J353" i="1"/>
  <c r="J352" i="1"/>
  <c r="J351" i="1"/>
  <c r="J350" i="1"/>
  <c r="J349" i="1"/>
  <c r="J348" i="1"/>
  <c r="J347" i="1"/>
  <c r="J346" i="1"/>
  <c r="J345" i="1"/>
  <c r="I342" i="1"/>
  <c r="H342" i="1"/>
  <c r="G342" i="1"/>
  <c r="F342" i="1"/>
  <c r="E342" i="1"/>
  <c r="D342" i="1"/>
  <c r="C342" i="1"/>
  <c r="B342" i="1"/>
  <c r="J341" i="1"/>
  <c r="J340" i="1"/>
  <c r="I339" i="1"/>
  <c r="H339" i="1"/>
  <c r="H343" i="1" s="1"/>
  <c r="G339" i="1"/>
  <c r="G343" i="1" s="1"/>
  <c r="F339" i="1"/>
  <c r="F343" i="1" s="1"/>
  <c r="E339" i="1"/>
  <c r="E343" i="1" s="1"/>
  <c r="D339" i="1"/>
  <c r="D343" i="1" s="1"/>
  <c r="C339" i="1"/>
  <c r="C343" i="1" s="1"/>
  <c r="B339" i="1"/>
  <c r="B343" i="1" s="1"/>
  <c r="J338" i="1"/>
  <c r="J337" i="1"/>
  <c r="J336" i="1"/>
  <c r="J335" i="1"/>
  <c r="J334" i="1"/>
  <c r="J333" i="1"/>
  <c r="J332" i="1"/>
  <c r="J331" i="1"/>
  <c r="J330" i="1"/>
  <c r="J329" i="1"/>
  <c r="I326" i="1"/>
  <c r="H326" i="1"/>
  <c r="G326" i="1"/>
  <c r="F326" i="1"/>
  <c r="E326" i="1"/>
  <c r="D326" i="1"/>
  <c r="C326" i="1"/>
  <c r="B326" i="1"/>
  <c r="J325" i="1"/>
  <c r="J324" i="1"/>
  <c r="I323" i="1"/>
  <c r="I327" i="1" s="1"/>
  <c r="H323" i="1"/>
  <c r="H327" i="1" s="1"/>
  <c r="G323" i="1"/>
  <c r="G327" i="1" s="1"/>
  <c r="F323" i="1"/>
  <c r="F327" i="1" s="1"/>
  <c r="E323" i="1"/>
  <c r="E327" i="1" s="1"/>
  <c r="D323" i="1"/>
  <c r="C323" i="1"/>
  <c r="B323" i="1"/>
  <c r="B327" i="1" s="1"/>
  <c r="J322" i="1"/>
  <c r="J321" i="1"/>
  <c r="J320" i="1"/>
  <c r="J319" i="1"/>
  <c r="J318" i="1"/>
  <c r="J317" i="1"/>
  <c r="J316" i="1"/>
  <c r="J315" i="1"/>
  <c r="J314" i="1"/>
  <c r="J313" i="1"/>
  <c r="I310" i="1"/>
  <c r="H310" i="1"/>
  <c r="G310" i="1"/>
  <c r="F310" i="1"/>
  <c r="E310" i="1"/>
  <c r="D310" i="1"/>
  <c r="C310" i="1"/>
  <c r="B310" i="1"/>
  <c r="J309" i="1"/>
  <c r="J308" i="1"/>
  <c r="I307" i="1"/>
  <c r="I311" i="1" s="1"/>
  <c r="H307" i="1"/>
  <c r="H311" i="1" s="1"/>
  <c r="G307" i="1"/>
  <c r="G311" i="1" s="1"/>
  <c r="F307" i="1"/>
  <c r="F311" i="1" s="1"/>
  <c r="E307" i="1"/>
  <c r="E311" i="1" s="1"/>
  <c r="D307" i="1"/>
  <c r="D311" i="1" s="1"/>
  <c r="C307" i="1"/>
  <c r="C311" i="1" s="1"/>
  <c r="B307" i="1"/>
  <c r="B311" i="1" s="1"/>
  <c r="J306" i="1"/>
  <c r="J305" i="1"/>
  <c r="J304" i="1"/>
  <c r="J303" i="1"/>
  <c r="J302" i="1"/>
  <c r="J301" i="1"/>
  <c r="J300" i="1"/>
  <c r="J299" i="1"/>
  <c r="J298" i="1"/>
  <c r="J297" i="1"/>
  <c r="I294" i="1"/>
  <c r="H294" i="1"/>
  <c r="G294" i="1"/>
  <c r="F294" i="1"/>
  <c r="E294" i="1"/>
  <c r="D294" i="1"/>
  <c r="C294" i="1"/>
  <c r="B294" i="1"/>
  <c r="J293" i="1"/>
  <c r="J292" i="1"/>
  <c r="I291" i="1"/>
  <c r="I295" i="1" s="1"/>
  <c r="H291" i="1"/>
  <c r="H295" i="1" s="1"/>
  <c r="G291" i="1"/>
  <c r="G295" i="1" s="1"/>
  <c r="F291" i="1"/>
  <c r="F295" i="1" s="1"/>
  <c r="E291" i="1"/>
  <c r="E295" i="1" s="1"/>
  <c r="D291" i="1"/>
  <c r="D295" i="1" s="1"/>
  <c r="C291" i="1"/>
  <c r="C295" i="1" s="1"/>
  <c r="B291" i="1"/>
  <c r="B295" i="1" s="1"/>
  <c r="J290" i="1"/>
  <c r="J289" i="1"/>
  <c r="J288" i="1"/>
  <c r="J287" i="1"/>
  <c r="J286" i="1"/>
  <c r="J285" i="1"/>
  <c r="J284" i="1"/>
  <c r="J283" i="1"/>
  <c r="J282" i="1"/>
  <c r="J281" i="1"/>
  <c r="I278" i="1"/>
  <c r="H278" i="1"/>
  <c r="G278" i="1"/>
  <c r="F278" i="1"/>
  <c r="E278" i="1"/>
  <c r="D278" i="1"/>
  <c r="C278" i="1"/>
  <c r="B278" i="1"/>
  <c r="J277" i="1"/>
  <c r="J276" i="1"/>
  <c r="I275" i="1"/>
  <c r="I279" i="1" s="1"/>
  <c r="H275" i="1"/>
  <c r="H279" i="1" s="1"/>
  <c r="G275" i="1"/>
  <c r="G279" i="1" s="1"/>
  <c r="F275" i="1"/>
  <c r="F279" i="1" s="1"/>
  <c r="E275" i="1"/>
  <c r="E279" i="1" s="1"/>
  <c r="D275" i="1"/>
  <c r="C275" i="1"/>
  <c r="C279" i="1" s="1"/>
  <c r="B275" i="1"/>
  <c r="B279" i="1" s="1"/>
  <c r="J274" i="1"/>
  <c r="J273" i="1"/>
  <c r="J272" i="1"/>
  <c r="J271" i="1"/>
  <c r="J270" i="1"/>
  <c r="J269" i="1"/>
  <c r="J268" i="1"/>
  <c r="J267" i="1"/>
  <c r="J266" i="1"/>
  <c r="J265" i="1"/>
  <c r="I262" i="1"/>
  <c r="H262" i="1"/>
  <c r="G262" i="1"/>
  <c r="F262" i="1"/>
  <c r="E262" i="1"/>
  <c r="D262" i="1"/>
  <c r="C262" i="1"/>
  <c r="B262" i="1"/>
  <c r="J261" i="1"/>
  <c r="J260" i="1"/>
  <c r="I259" i="1"/>
  <c r="I263" i="1" s="1"/>
  <c r="H259" i="1"/>
  <c r="H263" i="1" s="1"/>
  <c r="G259" i="1"/>
  <c r="G263" i="1" s="1"/>
  <c r="F259" i="1"/>
  <c r="F263" i="1" s="1"/>
  <c r="E259" i="1"/>
  <c r="E263" i="1" s="1"/>
  <c r="D259" i="1"/>
  <c r="C259" i="1"/>
  <c r="C263" i="1" s="1"/>
  <c r="B259" i="1"/>
  <c r="J258" i="1"/>
  <c r="J257" i="1"/>
  <c r="J256" i="1"/>
  <c r="J255" i="1"/>
  <c r="J254" i="1"/>
  <c r="J253" i="1"/>
  <c r="J252" i="1"/>
  <c r="J251" i="1"/>
  <c r="J250" i="1"/>
  <c r="J249" i="1"/>
  <c r="I246" i="1"/>
  <c r="H246" i="1"/>
  <c r="G246" i="1"/>
  <c r="F246" i="1"/>
  <c r="E246" i="1"/>
  <c r="D246" i="1"/>
  <c r="C246" i="1"/>
  <c r="B246" i="1"/>
  <c r="J245" i="1"/>
  <c r="J244" i="1"/>
  <c r="I243" i="1"/>
  <c r="I247" i="1" s="1"/>
  <c r="H243" i="1"/>
  <c r="H247" i="1" s="1"/>
  <c r="G243" i="1"/>
  <c r="G247" i="1" s="1"/>
  <c r="F243" i="1"/>
  <c r="F247" i="1" s="1"/>
  <c r="E243" i="1"/>
  <c r="E247" i="1" s="1"/>
  <c r="D243" i="1"/>
  <c r="D247" i="1" s="1"/>
  <c r="C243" i="1"/>
  <c r="C247" i="1" s="1"/>
  <c r="B243" i="1"/>
  <c r="B247" i="1" s="1"/>
  <c r="J242" i="1"/>
  <c r="J241" i="1"/>
  <c r="J240" i="1"/>
  <c r="J239" i="1"/>
  <c r="J238" i="1"/>
  <c r="J237" i="1"/>
  <c r="J236" i="1"/>
  <c r="J235" i="1"/>
  <c r="J234" i="1"/>
  <c r="J233" i="1"/>
  <c r="I214" i="1"/>
  <c r="H214" i="1"/>
  <c r="G214" i="1"/>
  <c r="F214" i="1"/>
  <c r="E214" i="1"/>
  <c r="D214" i="1"/>
  <c r="C214" i="1"/>
  <c r="B214" i="1"/>
  <c r="J213" i="1"/>
  <c r="J212" i="1"/>
  <c r="I211" i="1"/>
  <c r="I215" i="1" s="1"/>
  <c r="H211" i="1"/>
  <c r="H215" i="1" s="1"/>
  <c r="G211" i="1"/>
  <c r="G215" i="1" s="1"/>
  <c r="F211" i="1"/>
  <c r="F215" i="1" s="1"/>
  <c r="E211" i="1"/>
  <c r="E215" i="1" s="1"/>
  <c r="D211" i="1"/>
  <c r="D215" i="1" s="1"/>
  <c r="C211" i="1"/>
  <c r="C215" i="1" s="1"/>
  <c r="B211" i="1"/>
  <c r="B215" i="1" s="1"/>
  <c r="J210" i="1"/>
  <c r="J209" i="1"/>
  <c r="J208" i="1"/>
  <c r="J207" i="1"/>
  <c r="J206" i="1"/>
  <c r="J205" i="1"/>
  <c r="J204" i="1"/>
  <c r="J203" i="1"/>
  <c r="J202" i="1"/>
  <c r="J201" i="1"/>
  <c r="I198" i="1"/>
  <c r="H198" i="1"/>
  <c r="G198" i="1"/>
  <c r="F198" i="1"/>
  <c r="E198" i="1"/>
  <c r="D198" i="1"/>
  <c r="C198" i="1"/>
  <c r="B198" i="1"/>
  <c r="J197" i="1"/>
  <c r="J196" i="1"/>
  <c r="I195" i="1"/>
  <c r="I199" i="1" s="1"/>
  <c r="H195" i="1"/>
  <c r="H199" i="1" s="1"/>
  <c r="G195" i="1"/>
  <c r="G199" i="1" s="1"/>
  <c r="F195" i="1"/>
  <c r="F199" i="1" s="1"/>
  <c r="E195" i="1"/>
  <c r="E199" i="1" s="1"/>
  <c r="D195" i="1"/>
  <c r="C195" i="1"/>
  <c r="C199" i="1" s="1"/>
  <c r="B195" i="1"/>
  <c r="B199" i="1" s="1"/>
  <c r="J194" i="1"/>
  <c r="J193" i="1"/>
  <c r="J192" i="1"/>
  <c r="J191" i="1"/>
  <c r="J190" i="1"/>
  <c r="J189" i="1"/>
  <c r="J188" i="1"/>
  <c r="J187" i="1"/>
  <c r="J186" i="1"/>
  <c r="J185" i="1"/>
  <c r="J170" i="1"/>
  <c r="J171" i="1"/>
  <c r="J172" i="1"/>
  <c r="J173" i="1"/>
  <c r="J174" i="1"/>
  <c r="J175" i="1"/>
  <c r="J176" i="1"/>
  <c r="J177" i="1"/>
  <c r="J178" i="1"/>
  <c r="J169" i="1"/>
  <c r="I182" i="1"/>
  <c r="H182" i="1"/>
  <c r="G182" i="1"/>
  <c r="F182" i="1"/>
  <c r="E182" i="1"/>
  <c r="D182" i="1"/>
  <c r="C182" i="1"/>
  <c r="B182" i="1"/>
  <c r="J181" i="1"/>
  <c r="J180" i="1"/>
  <c r="I179" i="1"/>
  <c r="I183" i="1" s="1"/>
  <c r="H179" i="1"/>
  <c r="H183" i="1" s="1"/>
  <c r="G179" i="1"/>
  <c r="G183" i="1" s="1"/>
  <c r="F179" i="1"/>
  <c r="F183" i="1" s="1"/>
  <c r="E179" i="1"/>
  <c r="E183" i="1" s="1"/>
  <c r="D179" i="1"/>
  <c r="D183" i="1" s="1"/>
  <c r="C179" i="1"/>
  <c r="C183" i="1" s="1"/>
  <c r="B179" i="1"/>
  <c r="B183" i="1" s="1"/>
  <c r="J154" i="1"/>
  <c r="J155" i="1"/>
  <c r="J156" i="1"/>
  <c r="J157" i="1"/>
  <c r="J158" i="1"/>
  <c r="J159" i="1"/>
  <c r="J160" i="1"/>
  <c r="J161" i="1"/>
  <c r="J162" i="1"/>
  <c r="J153" i="1"/>
  <c r="I166" i="1"/>
  <c r="H166" i="1"/>
  <c r="G166" i="1"/>
  <c r="F166" i="1"/>
  <c r="E166" i="1"/>
  <c r="D166" i="1"/>
  <c r="C166" i="1"/>
  <c r="B166" i="1"/>
  <c r="J165" i="1"/>
  <c r="J164" i="1"/>
  <c r="I163" i="1"/>
  <c r="I167" i="1" s="1"/>
  <c r="H163" i="1"/>
  <c r="H167" i="1" s="1"/>
  <c r="G163" i="1"/>
  <c r="G167" i="1" s="1"/>
  <c r="F163" i="1"/>
  <c r="F167" i="1" s="1"/>
  <c r="E163" i="1"/>
  <c r="D163" i="1"/>
  <c r="D167" i="1" s="1"/>
  <c r="C163" i="1"/>
  <c r="C167" i="1" s="1"/>
  <c r="B163" i="1"/>
  <c r="B167" i="1" s="1"/>
  <c r="J138" i="1"/>
  <c r="J139" i="1"/>
  <c r="J140" i="1"/>
  <c r="J141" i="1"/>
  <c r="J142" i="1"/>
  <c r="J143" i="1"/>
  <c r="J144" i="1"/>
  <c r="J145" i="1"/>
  <c r="J146" i="1"/>
  <c r="J137" i="1"/>
  <c r="I150" i="1"/>
  <c r="H150" i="1"/>
  <c r="G150" i="1"/>
  <c r="F150" i="1"/>
  <c r="E150" i="1"/>
  <c r="D150" i="1"/>
  <c r="C150" i="1"/>
  <c r="B150" i="1"/>
  <c r="J149" i="1"/>
  <c r="J148" i="1"/>
  <c r="I147" i="1"/>
  <c r="I151" i="1" s="1"/>
  <c r="H147" i="1"/>
  <c r="H151" i="1" s="1"/>
  <c r="G147" i="1"/>
  <c r="G151" i="1" s="1"/>
  <c r="F147" i="1"/>
  <c r="F151" i="1" s="1"/>
  <c r="E147" i="1"/>
  <c r="E151" i="1" s="1"/>
  <c r="D147" i="1"/>
  <c r="D151" i="1" s="1"/>
  <c r="C147" i="1"/>
  <c r="C151" i="1" s="1"/>
  <c r="B147" i="1"/>
  <c r="B151" i="1" s="1"/>
  <c r="J122" i="1"/>
  <c r="J123" i="1"/>
  <c r="J124" i="1"/>
  <c r="J125" i="1"/>
  <c r="J126" i="1"/>
  <c r="J127" i="1"/>
  <c r="J128" i="1"/>
  <c r="J129" i="1"/>
  <c r="J130" i="1"/>
  <c r="J121" i="1"/>
  <c r="I134" i="1"/>
  <c r="H134" i="1"/>
  <c r="G134" i="1"/>
  <c r="F134" i="1"/>
  <c r="E134" i="1"/>
  <c r="D134" i="1"/>
  <c r="C134" i="1"/>
  <c r="B134" i="1"/>
  <c r="J133" i="1"/>
  <c r="J132" i="1"/>
  <c r="I131" i="1"/>
  <c r="I135" i="1" s="1"/>
  <c r="H131" i="1"/>
  <c r="H135" i="1" s="1"/>
  <c r="G131" i="1"/>
  <c r="G135" i="1" s="1"/>
  <c r="F131" i="1"/>
  <c r="F135" i="1" s="1"/>
  <c r="E131" i="1"/>
  <c r="E135" i="1" s="1"/>
  <c r="D131" i="1"/>
  <c r="D135" i="1" s="1"/>
  <c r="C131" i="1"/>
  <c r="C135" i="1" s="1"/>
  <c r="B131" i="1"/>
  <c r="B135" i="1" s="1"/>
  <c r="J106" i="1"/>
  <c r="J107" i="1"/>
  <c r="J108" i="1"/>
  <c r="J109" i="1"/>
  <c r="J110" i="1"/>
  <c r="J111" i="1"/>
  <c r="J112" i="1"/>
  <c r="J113" i="1"/>
  <c r="J114" i="1"/>
  <c r="J105" i="1"/>
  <c r="I118" i="1"/>
  <c r="H118" i="1"/>
  <c r="G118" i="1"/>
  <c r="F118" i="1"/>
  <c r="E118" i="1"/>
  <c r="D118" i="1"/>
  <c r="C118" i="1"/>
  <c r="B118" i="1"/>
  <c r="J117" i="1"/>
  <c r="J116" i="1"/>
  <c r="I115" i="1"/>
  <c r="I119" i="1" s="1"/>
  <c r="H115" i="1"/>
  <c r="H119" i="1" s="1"/>
  <c r="G115" i="1"/>
  <c r="G119" i="1" s="1"/>
  <c r="F115" i="1"/>
  <c r="F119" i="1" s="1"/>
  <c r="E115" i="1"/>
  <c r="E119" i="1" s="1"/>
  <c r="D115" i="1"/>
  <c r="C115" i="1"/>
  <c r="C119" i="1" s="1"/>
  <c r="B115" i="1"/>
  <c r="B119" i="1" s="1"/>
  <c r="J90" i="1"/>
  <c r="J91" i="1"/>
  <c r="J92" i="1"/>
  <c r="J93" i="1"/>
  <c r="J94" i="1"/>
  <c r="J95" i="1"/>
  <c r="J96" i="1"/>
  <c r="J97" i="1"/>
  <c r="J98" i="1"/>
  <c r="J89" i="1"/>
  <c r="I102" i="1"/>
  <c r="H102" i="1"/>
  <c r="G102" i="1"/>
  <c r="F102" i="1"/>
  <c r="E102" i="1"/>
  <c r="D102" i="1"/>
  <c r="C102" i="1"/>
  <c r="B102" i="1"/>
  <c r="J101" i="1"/>
  <c r="J100" i="1"/>
  <c r="I99" i="1"/>
  <c r="H99" i="1"/>
  <c r="H103" i="1" s="1"/>
  <c r="G99" i="1"/>
  <c r="G103" i="1" s="1"/>
  <c r="F99" i="1"/>
  <c r="F103" i="1" s="1"/>
  <c r="E99" i="1"/>
  <c r="E103" i="1" s="1"/>
  <c r="D99" i="1"/>
  <c r="D103" i="1" s="1"/>
  <c r="C99" i="1"/>
  <c r="C103" i="1" s="1"/>
  <c r="B99" i="1"/>
  <c r="B103" i="1" s="1"/>
  <c r="J74" i="1"/>
  <c r="J75" i="1"/>
  <c r="J76" i="1"/>
  <c r="J77" i="1"/>
  <c r="J78" i="1"/>
  <c r="J79" i="1"/>
  <c r="J80" i="1"/>
  <c r="J82" i="1"/>
  <c r="J73" i="1"/>
  <c r="I86" i="1"/>
  <c r="H86" i="1"/>
  <c r="G86" i="1"/>
  <c r="F86" i="1"/>
  <c r="E86" i="1"/>
  <c r="D86" i="1"/>
  <c r="C86" i="1"/>
  <c r="B86" i="1"/>
  <c r="J85" i="1"/>
  <c r="J84" i="1"/>
  <c r="I83" i="1"/>
  <c r="I87" i="1" s="1"/>
  <c r="H83" i="1"/>
  <c r="H87" i="1" s="1"/>
  <c r="G83" i="1"/>
  <c r="G87" i="1" s="1"/>
  <c r="F83" i="1"/>
  <c r="F87" i="1" s="1"/>
  <c r="E83" i="1"/>
  <c r="E87" i="1" s="1"/>
  <c r="D83" i="1"/>
  <c r="C83" i="1"/>
  <c r="C87" i="1" s="1"/>
  <c r="J42" i="1"/>
  <c r="J43" i="1"/>
  <c r="J44" i="1"/>
  <c r="J45" i="1"/>
  <c r="J46" i="1"/>
  <c r="J47" i="1"/>
  <c r="J48" i="1"/>
  <c r="J49" i="1"/>
  <c r="J50" i="1"/>
  <c r="J41" i="1"/>
  <c r="I54" i="1"/>
  <c r="H54" i="1"/>
  <c r="G54" i="1"/>
  <c r="F54" i="1"/>
  <c r="E54" i="1"/>
  <c r="D54" i="1"/>
  <c r="C54" i="1"/>
  <c r="B54" i="1"/>
  <c r="J53" i="1"/>
  <c r="J52" i="1"/>
  <c r="I51" i="1"/>
  <c r="I55" i="1" s="1"/>
  <c r="H51" i="1"/>
  <c r="H55" i="1" s="1"/>
  <c r="G51" i="1"/>
  <c r="F51" i="1"/>
  <c r="F55" i="1" s="1"/>
  <c r="E51" i="1"/>
  <c r="E55" i="1" s="1"/>
  <c r="D51" i="1"/>
  <c r="D55" i="1" s="1"/>
  <c r="C51" i="1"/>
  <c r="C55" i="1" s="1"/>
  <c r="B51" i="1"/>
  <c r="B55" i="1" s="1"/>
  <c r="J37" i="1"/>
  <c r="J36" i="1"/>
  <c r="C38" i="1"/>
  <c r="D38" i="1"/>
  <c r="E38" i="1"/>
  <c r="F38" i="1"/>
  <c r="G38" i="1"/>
  <c r="H38" i="1"/>
  <c r="I38" i="1"/>
  <c r="B38" i="1"/>
  <c r="J26" i="1"/>
  <c r="J27" i="1"/>
  <c r="J28" i="1"/>
  <c r="J29" i="1"/>
  <c r="J30" i="1"/>
  <c r="J31" i="1"/>
  <c r="J32" i="1"/>
  <c r="J33" i="1"/>
  <c r="J34" i="1"/>
  <c r="J25" i="1"/>
  <c r="B35" i="1"/>
  <c r="I35" i="1"/>
  <c r="H35" i="1"/>
  <c r="G35" i="1"/>
  <c r="F35" i="1"/>
  <c r="E35" i="1"/>
  <c r="D35" i="1"/>
  <c r="C35" i="1"/>
  <c r="J21" i="1"/>
  <c r="J20" i="1"/>
  <c r="C22" i="1"/>
  <c r="D22" i="1"/>
  <c r="E22" i="1"/>
  <c r="F22" i="1"/>
  <c r="G22" i="1"/>
  <c r="H22" i="1"/>
  <c r="I22" i="1"/>
  <c r="B22" i="1"/>
  <c r="J10" i="1"/>
  <c r="J11" i="1"/>
  <c r="J12" i="1"/>
  <c r="J13" i="1"/>
  <c r="J14" i="1"/>
  <c r="J15" i="1"/>
  <c r="J16" i="1"/>
  <c r="J17" i="1"/>
  <c r="J18" i="1"/>
  <c r="J9" i="1"/>
  <c r="C759" i="1" l="1"/>
  <c r="H1320" i="1"/>
  <c r="F1320" i="1"/>
  <c r="D1320" i="1"/>
  <c r="I1320" i="1"/>
  <c r="G1320" i="1"/>
  <c r="E1320" i="1"/>
  <c r="C1320" i="1"/>
  <c r="J1340" i="1"/>
  <c r="J1346" i="1"/>
  <c r="J1344" i="1"/>
  <c r="J1349" i="1"/>
  <c r="J1347" i="1"/>
  <c r="J1345" i="1"/>
  <c r="J1343" i="1"/>
  <c r="I759" i="1"/>
  <c r="H1080" i="1"/>
  <c r="G455" i="1"/>
  <c r="C1080" i="1"/>
  <c r="I1080" i="1"/>
  <c r="B1080" i="1"/>
  <c r="J1076" i="1"/>
  <c r="J1352" i="1"/>
  <c r="J1351" i="1" s="1"/>
  <c r="E1080" i="1"/>
  <c r="D1288" i="1"/>
  <c r="D1272" i="1"/>
  <c r="D1240" i="1"/>
  <c r="D1144" i="1"/>
  <c r="D1063" i="1"/>
  <c r="D1047" i="1"/>
  <c r="D1015" i="1"/>
  <c r="D967" i="1"/>
  <c r="D919" i="1"/>
  <c r="D887" i="1"/>
  <c r="D855" i="1"/>
  <c r="D759" i="1"/>
  <c r="D743" i="1"/>
  <c r="D727" i="1"/>
  <c r="D615" i="1"/>
  <c r="D567" i="1"/>
  <c r="D455" i="1"/>
  <c r="D407" i="1"/>
  <c r="D391" i="1"/>
  <c r="D327" i="1"/>
  <c r="D279" i="1"/>
  <c r="D263" i="1"/>
  <c r="D231" i="1"/>
  <c r="D199" i="1"/>
  <c r="D119" i="1"/>
  <c r="J71" i="1"/>
  <c r="G55" i="1"/>
  <c r="E1160" i="1"/>
  <c r="G423" i="1"/>
  <c r="I343" i="1"/>
  <c r="D87" i="1"/>
  <c r="C327" i="1"/>
  <c r="G391" i="1"/>
  <c r="G599" i="1"/>
  <c r="C695" i="1"/>
  <c r="I103" i="1"/>
  <c r="E167" i="1"/>
  <c r="B263" i="1"/>
  <c r="I887" i="1"/>
  <c r="C39" i="1"/>
  <c r="E39" i="1"/>
  <c r="G39" i="1"/>
  <c r="I39" i="1"/>
  <c r="J102" i="1"/>
  <c r="J118" i="1"/>
  <c r="J150" i="1"/>
  <c r="J166" i="1"/>
  <c r="J246" i="1"/>
  <c r="J262" i="1"/>
  <c r="J294" i="1"/>
  <c r="J310" i="1"/>
  <c r="J374" i="1"/>
  <c r="J406" i="1"/>
  <c r="J422" i="1"/>
  <c r="J438" i="1"/>
  <c r="J454" i="1"/>
  <c r="J470" i="1"/>
  <c r="J502" i="1"/>
  <c r="J550" i="1"/>
  <c r="J614" i="1"/>
  <c r="J646" i="1"/>
  <c r="J678" i="1"/>
  <c r="J694" i="1"/>
  <c r="J710" i="1"/>
  <c r="J726" i="1"/>
  <c r="J774" i="1"/>
  <c r="J854" i="1"/>
  <c r="J870" i="1"/>
  <c r="J886" i="1"/>
  <c r="J1046" i="1"/>
  <c r="J1095" i="1"/>
  <c r="J1111" i="1"/>
  <c r="J1127" i="1"/>
  <c r="J1143" i="1"/>
  <c r="J1175" i="1"/>
  <c r="J1191" i="1"/>
  <c r="J1207" i="1"/>
  <c r="J1239" i="1"/>
  <c r="J1255" i="1"/>
  <c r="J1287" i="1"/>
  <c r="J1303" i="1"/>
  <c r="J1159" i="1"/>
  <c r="J230" i="1"/>
  <c r="J662" i="1"/>
  <c r="J1319" i="1"/>
  <c r="D39" i="1"/>
  <c r="F39" i="1"/>
  <c r="H39" i="1"/>
  <c r="B39" i="1"/>
  <c r="J950" i="1"/>
  <c r="J998" i="1"/>
  <c r="J182" i="1"/>
  <c r="J518" i="1"/>
  <c r="J742" i="1"/>
  <c r="J806" i="1"/>
  <c r="J278" i="1"/>
  <c r="J358" i="1"/>
  <c r="J390" i="1"/>
  <c r="J822" i="1"/>
  <c r="J659" i="1"/>
  <c r="J227" i="1"/>
  <c r="J1156" i="1"/>
  <c r="J598" i="1"/>
  <c r="J758" i="1"/>
  <c r="J902" i="1"/>
  <c r="J1014" i="1"/>
  <c r="J1030" i="1"/>
  <c r="J1271" i="1"/>
  <c r="J86" i="1"/>
  <c r="J582" i="1"/>
  <c r="J918" i="1"/>
  <c r="J966" i="1"/>
  <c r="J1223" i="1"/>
  <c r="J1284" i="1"/>
  <c r="J1268" i="1"/>
  <c r="J1252" i="1"/>
  <c r="J1236" i="1"/>
  <c r="J1220" i="1"/>
  <c r="J1204" i="1"/>
  <c r="J198" i="1"/>
  <c r="J326" i="1"/>
  <c r="J790" i="1"/>
  <c r="J838" i="1"/>
  <c r="J934" i="1"/>
  <c r="J982" i="1"/>
  <c r="J1062" i="1"/>
  <c r="J179" i="1"/>
  <c r="J214" i="1"/>
  <c r="J342" i="1"/>
  <c r="J486" i="1"/>
  <c r="J534" i="1"/>
  <c r="J566" i="1"/>
  <c r="J630" i="1"/>
  <c r="J1079" i="1"/>
  <c r="J134" i="1"/>
  <c r="J1188" i="1"/>
  <c r="J1172" i="1"/>
  <c r="J1140" i="1"/>
  <c r="J1124" i="1"/>
  <c r="J1108" i="1"/>
  <c r="J1092" i="1"/>
  <c r="J1059" i="1"/>
  <c r="J1043" i="1"/>
  <c r="J1027" i="1"/>
  <c r="J1011" i="1"/>
  <c r="J995" i="1"/>
  <c r="J979" i="1"/>
  <c r="J963" i="1"/>
  <c r="J947" i="1"/>
  <c r="J931" i="1"/>
  <c r="J915" i="1"/>
  <c r="J919" i="1" s="1"/>
  <c r="J899" i="1"/>
  <c r="J883" i="1"/>
  <c r="J887" i="1" s="1"/>
  <c r="J867" i="1"/>
  <c r="J851" i="1"/>
  <c r="J855" i="1" s="1"/>
  <c r="J835" i="1"/>
  <c r="J819" i="1"/>
  <c r="J823" i="1" s="1"/>
  <c r="J803" i="1"/>
  <c r="J787" i="1"/>
  <c r="J771" i="1"/>
  <c r="J755" i="1"/>
  <c r="J739" i="1"/>
  <c r="J723" i="1"/>
  <c r="J727" i="1" s="1"/>
  <c r="J707" i="1"/>
  <c r="J691" i="1"/>
  <c r="J695" i="1" s="1"/>
  <c r="J675" i="1"/>
  <c r="J643" i="1"/>
  <c r="J647" i="1" s="1"/>
  <c r="J627" i="1"/>
  <c r="J611" i="1"/>
  <c r="J595" i="1"/>
  <c r="J579" i="1"/>
  <c r="J563" i="1"/>
  <c r="J547" i="1"/>
  <c r="J551" i="1" s="1"/>
  <c r="J531" i="1"/>
  <c r="J515" i="1"/>
  <c r="J519" i="1" s="1"/>
  <c r="J499" i="1"/>
  <c r="J483" i="1"/>
  <c r="J467" i="1"/>
  <c r="J451" i="1"/>
  <c r="J435" i="1"/>
  <c r="J419" i="1"/>
  <c r="J403" i="1"/>
  <c r="J387" i="1"/>
  <c r="J371" i="1"/>
  <c r="J355" i="1"/>
  <c r="J359" i="1" s="1"/>
  <c r="J339" i="1"/>
  <c r="J323" i="1"/>
  <c r="J307" i="1"/>
  <c r="J291" i="1"/>
  <c r="J275" i="1"/>
  <c r="J259" i="1"/>
  <c r="J263" i="1" s="1"/>
  <c r="J243" i="1"/>
  <c r="J211" i="1"/>
  <c r="J195" i="1"/>
  <c r="J163" i="1"/>
  <c r="J167" i="1" s="1"/>
  <c r="J147" i="1"/>
  <c r="J131" i="1"/>
  <c r="J115" i="1"/>
  <c r="J54" i="1"/>
  <c r="J99" i="1"/>
  <c r="J35" i="1"/>
  <c r="J22" i="1"/>
  <c r="J51" i="1"/>
  <c r="J38" i="1"/>
  <c r="J215" i="1" l="1"/>
  <c r="J1240" i="1"/>
  <c r="J1256" i="1"/>
  <c r="J1160" i="1"/>
  <c r="J663" i="1"/>
  <c r="J487" i="1"/>
  <c r="J183" i="1"/>
  <c r="J1272" i="1"/>
  <c r="J231" i="1"/>
  <c r="J1224" i="1"/>
  <c r="J247" i="1"/>
  <c r="J375" i="1"/>
  <c r="J279" i="1"/>
  <c r="J343" i="1"/>
  <c r="J503" i="1"/>
  <c r="J535" i="1"/>
  <c r="J631" i="1"/>
  <c r="J679" i="1"/>
  <c r="J711" i="1"/>
  <c r="J743" i="1"/>
  <c r="J775" i="1"/>
  <c r="J839" i="1"/>
  <c r="J871" i="1"/>
  <c r="J967" i="1"/>
  <c r="J1080" i="1"/>
  <c r="J791" i="1"/>
  <c r="J1308" i="1"/>
  <c r="J1342" i="1" s="1"/>
  <c r="J119" i="1"/>
  <c r="J199" i="1"/>
  <c r="J311" i="1"/>
  <c r="J407" i="1"/>
  <c r="J439" i="1"/>
  <c r="J471" i="1"/>
  <c r="J599" i="1"/>
  <c r="J807" i="1"/>
  <c r="J1096" i="1"/>
  <c r="J1128" i="1"/>
  <c r="J1176" i="1"/>
  <c r="J135" i="1"/>
  <c r="J103" i="1"/>
  <c r="J151" i="1"/>
  <c r="J295" i="1"/>
  <c r="J327" i="1"/>
  <c r="J391" i="1"/>
  <c r="J423" i="1"/>
  <c r="J455" i="1"/>
  <c r="J615" i="1"/>
  <c r="J583" i="1"/>
  <c r="J1047" i="1"/>
  <c r="J1112" i="1"/>
  <c r="J1144" i="1"/>
  <c r="J1192" i="1"/>
  <c r="J1288" i="1"/>
  <c r="J567" i="1"/>
  <c r="J903" i="1"/>
  <c r="J935" i="1"/>
  <c r="J999" i="1"/>
  <c r="J1031" i="1"/>
  <c r="J1063" i="1"/>
  <c r="J1208" i="1"/>
  <c r="J1307" i="1"/>
  <c r="J1341" i="1" s="1"/>
  <c r="B1316" i="1"/>
  <c r="B1320" i="1" s="1"/>
  <c r="J1320" i="1" s="1"/>
  <c r="J759" i="1"/>
  <c r="J951" i="1"/>
  <c r="J983" i="1"/>
  <c r="J1015" i="1"/>
  <c r="J55" i="1"/>
  <c r="J39" i="1"/>
  <c r="C1300" i="1" l="1"/>
  <c r="C1304" i="1" s="1"/>
  <c r="J1316" i="1"/>
  <c r="J81" i="1"/>
  <c r="J1348" i="1" s="1"/>
  <c r="B83" i="1"/>
  <c r="B87" i="1" l="1"/>
  <c r="J83" i="1"/>
  <c r="J87" i="1" s="1"/>
  <c r="F1300" i="1" l="1"/>
  <c r="F19" i="1"/>
  <c r="F1304" i="1"/>
  <c r="B19" i="1"/>
  <c r="B1300" i="1"/>
  <c r="B1304" i="1" s="1"/>
  <c r="J19" i="1"/>
  <c r="D19" i="1"/>
  <c r="D1339" i="1" s="1"/>
  <c r="D1300" i="1"/>
  <c r="D23" i="1" l="1"/>
  <c r="B23" i="1"/>
  <c r="B1337" i="1" s="1"/>
  <c r="B1339" i="1"/>
  <c r="F23" i="1"/>
  <c r="F1337" i="1" s="1"/>
  <c r="F1339" i="1"/>
  <c r="J23" i="1"/>
  <c r="D1304" i="1"/>
  <c r="D1337" i="1" l="1"/>
  <c r="G19" i="1"/>
  <c r="G1300" i="1"/>
  <c r="G1304" i="1" s="1"/>
  <c r="E1300" i="1"/>
  <c r="H1300" i="1"/>
  <c r="H1304" i="1" s="1"/>
  <c r="I1300" i="1"/>
  <c r="I1304" i="1" s="1"/>
  <c r="I19" i="1"/>
  <c r="H19" i="1"/>
  <c r="C19" i="1"/>
  <c r="E1304" i="1"/>
  <c r="E19" i="1"/>
  <c r="H23" i="1" l="1"/>
  <c r="H1337" i="1" s="1"/>
  <c r="H1339" i="1"/>
  <c r="I23" i="1"/>
  <c r="I1337" i="1" s="1"/>
  <c r="I1339" i="1"/>
  <c r="E23" i="1"/>
  <c r="E1337" i="1" s="1"/>
  <c r="E1339" i="1"/>
  <c r="C23" i="1"/>
  <c r="C1337" i="1" s="1"/>
  <c r="C1339" i="1"/>
  <c r="G23" i="1"/>
  <c r="G1337" i="1" s="1"/>
  <c r="H1359" i="1" s="1"/>
  <c r="G1339" i="1"/>
  <c r="J1300" i="1"/>
  <c r="J1339" i="1" s="1"/>
  <c r="J1337" i="1" l="1"/>
  <c r="J1304" i="1"/>
</calcChain>
</file>

<file path=xl/sharedStrings.xml><?xml version="1.0" encoding="utf-8"?>
<sst xmlns="http://schemas.openxmlformats.org/spreadsheetml/2006/main" count="1364" uniqueCount="122">
  <si>
    <t>Назва витрат / структурної одиниці КНП</t>
  </si>
  <si>
    <t>Міський бюджет</t>
  </si>
  <si>
    <t>Національна служба здоровя</t>
  </si>
  <si>
    <t>Обласний бюджет</t>
  </si>
  <si>
    <t>Районний бюджет</t>
  </si>
  <si>
    <t>Сільський бюджет</t>
  </si>
  <si>
    <t>Надходження (плата за послуги)</t>
  </si>
  <si>
    <t>Джерела власних надходжень (благодійка)</t>
  </si>
  <si>
    <t>Всього</t>
  </si>
  <si>
    <t>Джерело доходів, тис.грн.</t>
  </si>
  <si>
    <t>АЗПСМ №1 м.Овруч</t>
  </si>
  <si>
    <t>2111,2120</t>
  </si>
  <si>
    <t>2210</t>
  </si>
  <si>
    <t>2220</t>
  </si>
  <si>
    <t>2240</t>
  </si>
  <si>
    <t>2250</t>
  </si>
  <si>
    <t>2271</t>
  </si>
  <si>
    <t>2272</t>
  </si>
  <si>
    <t>2273</t>
  </si>
  <si>
    <t>2274</t>
  </si>
  <si>
    <t>2275</t>
  </si>
  <si>
    <t>Всього з поточних видатків</t>
  </si>
  <si>
    <t>3110</t>
  </si>
  <si>
    <t>3132</t>
  </si>
  <si>
    <t>ВСЬОГО</t>
  </si>
  <si>
    <t>по КНП "Овруцький ЦПМСД"</t>
  </si>
  <si>
    <t>АЗПСМ №2 м.Овруч</t>
  </si>
  <si>
    <t>АЗПСМ №3 м.Овруч</t>
  </si>
  <si>
    <t>Апарат КНП</t>
  </si>
  <si>
    <t>ВСЬОГО по КНП</t>
  </si>
  <si>
    <t>В т.ч.</t>
  </si>
  <si>
    <t>поточні видатки</t>
  </si>
  <si>
    <t>капітальні видатки</t>
  </si>
  <si>
    <t>Головний лікар</t>
  </si>
  <si>
    <t>Головний бухгалтер</t>
  </si>
  <si>
    <t>АЗПСМ с.В.Фосня</t>
  </si>
  <si>
    <t>АЗПСМ с.В.Чернігівка</t>
  </si>
  <si>
    <t>АЗПСМ с.Піщаниця</t>
  </si>
  <si>
    <t>АЗПСМ с.Покалів</t>
  </si>
  <si>
    <t>АЗПСМ с.Хлупляни</t>
  </si>
  <si>
    <t>АЗПСМ с.Шоломки</t>
  </si>
  <si>
    <t>ФП с.Бондарівка</t>
  </si>
  <si>
    <t>Всього з капітальних видатків</t>
  </si>
  <si>
    <t>ФП с.Красносілка</t>
  </si>
  <si>
    <t>ФП с.М.Фосня</t>
  </si>
  <si>
    <t>ФП с.В.Кобилин</t>
  </si>
  <si>
    <t>ФП с.М.Хайча</t>
  </si>
  <si>
    <t>ФП с.Богданівка</t>
  </si>
  <si>
    <t>ФАП с.Гошів</t>
  </si>
  <si>
    <t>ФП с.Потаповичі</t>
  </si>
  <si>
    <t>ФАП с.Заріччя</t>
  </si>
  <si>
    <t>ФП с.Острів</t>
  </si>
  <si>
    <t>ФАП с.Кирдани</t>
  </si>
  <si>
    <t>ФП с.Д.Гай</t>
  </si>
  <si>
    <t>ФП с.Корчівка</t>
  </si>
  <si>
    <t>ФП с.Невгоди</t>
  </si>
  <si>
    <t>ФАП с.Норинськ</t>
  </si>
  <si>
    <t>ФП с.Підруддя</t>
  </si>
  <si>
    <t>ФП с.Яцковичі</t>
  </si>
  <si>
    <t>ФП с.Клинець</t>
  </si>
  <si>
    <t>ФП с.Павловичі</t>
  </si>
  <si>
    <t>ФП с.Поліське</t>
  </si>
  <si>
    <t>ФП с.Гаєвичі</t>
  </si>
  <si>
    <t>ФП с.Дівошин</t>
  </si>
  <si>
    <t>ФП с.Коптівщина</t>
  </si>
  <si>
    <t>ФП с.Полохачів</t>
  </si>
  <si>
    <t>ФП с.Скребеличі</t>
  </si>
  <si>
    <t>ФП с.Раківщина</t>
  </si>
  <si>
    <t>ФП с.В.Мошки</t>
  </si>
  <si>
    <t>ФП с.Гуничі</t>
  </si>
  <si>
    <t>ФП с.Оленичі</t>
  </si>
  <si>
    <t>ФП с.Черепин</t>
  </si>
  <si>
    <t>ФП с.Заськи</t>
  </si>
  <si>
    <t>ФП с.Коренівка</t>
  </si>
  <si>
    <t>ФП с.Лукішки</t>
  </si>
  <si>
    <t>ФП с.Збраньки</t>
  </si>
  <si>
    <t>ФП с.Ш.Слобода</t>
  </si>
  <si>
    <t>АЗПСМ с.Бігунь</t>
  </si>
  <si>
    <t>АЗПСМ с.Ігнатпіль</t>
  </si>
  <si>
    <t>АЗПСМ с.Н.Велідники</t>
  </si>
  <si>
    <t>АЗПСМ с.Першотравневе</t>
  </si>
  <si>
    <t>ФП с.Селезівка</t>
  </si>
  <si>
    <t>ФАП с.Гладковичі</t>
  </si>
  <si>
    <t>ФАП с.Селище</t>
  </si>
  <si>
    <t>ФАП с.Товкачі</t>
  </si>
  <si>
    <t>ФП с.Білокамінка</t>
  </si>
  <si>
    <t>ФП с.Павлюківка</t>
  </si>
  <si>
    <t>ФП с.Левковичі</t>
  </si>
  <si>
    <t>ФП с.Острови</t>
  </si>
  <si>
    <t>ФАП с.Красилівка</t>
  </si>
  <si>
    <t>ФАП с.Прибитки</t>
  </si>
  <si>
    <t>ФП с.Сорокопень</t>
  </si>
  <si>
    <t>ФП с.Ст.Велідники</t>
  </si>
  <si>
    <t>ФП с.Бережесть</t>
  </si>
  <si>
    <t>ФП с.Прилуки</t>
  </si>
  <si>
    <t>ФАП с.Слобода</t>
  </si>
  <si>
    <t>АЗПСМ с.Словечно</t>
  </si>
  <si>
    <t>ФАП с.Антоновичі</t>
  </si>
  <si>
    <t>ФАП с.Тхорин</t>
  </si>
  <si>
    <t>ФАП с.Городець</t>
  </si>
  <si>
    <t>ФП с.Сирниця</t>
  </si>
  <si>
    <t>ФП с.Рокитне</t>
  </si>
  <si>
    <t>ФАП с.Лучанки</t>
  </si>
  <si>
    <t>ФП с.Возничі</t>
  </si>
  <si>
    <t>ФАП с.Можари</t>
  </si>
  <si>
    <t>ФП с.Верпа</t>
  </si>
  <si>
    <t>ФП с.Усово</t>
  </si>
  <si>
    <t>ФП с.Кованка</t>
  </si>
  <si>
    <t>ФП с.Черевки</t>
  </si>
  <si>
    <t>ФП с.Білка</t>
  </si>
  <si>
    <t>ФАП с.Листвин</t>
  </si>
  <si>
    <t>ФП с.Стугівщина</t>
  </si>
  <si>
    <t>АЗПСМ с.Бондарі</t>
  </si>
  <si>
    <t>ФАП с.В.Хайча</t>
  </si>
  <si>
    <t>3210</t>
  </si>
  <si>
    <t>всього</t>
  </si>
  <si>
    <t>зп</t>
  </si>
  <si>
    <t>2282</t>
  </si>
  <si>
    <t>Медична субвенція</t>
  </si>
  <si>
    <t>Звіт про використання коштів протягом 2019 року</t>
  </si>
  <si>
    <t>2280</t>
  </si>
  <si>
    <t>Аптека №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</si>
</sst>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vertical="center" wrapText="1"/>
    </xf>
    <xf numFmtId="49" fontId="0" fillId="0" borderId="1" xfId="0" applyNumberFormat="1" applyBorder="1" applyAlignment="1">
      <alignment horizontal="right"/>
    </xf>
    <xf numFmtId="49" fontId="1" fillId="0" borderId="1" xfId="0" applyNumberFormat="1" applyFont="1" applyBorder="1"/>
    <xf numFmtId="49" fontId="0" fillId="0" borderId="1" xfId="0" applyNumberFormat="1" applyFont="1" applyBorder="1"/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0" fillId="0" borderId="1" xfId="1" applyFont="1" applyBorder="1"/>
    <xf numFmtId="164" fontId="1" fillId="0" borderId="1" xfId="1" applyFont="1" applyBorder="1"/>
    <xf numFmtId="49" fontId="1" fillId="0" borderId="1" xfId="0" applyNumberFormat="1" applyFont="1" applyFill="1" applyBorder="1"/>
    <xf numFmtId="164" fontId="0" fillId="0" borderId="1" xfId="1" applyFont="1" applyFill="1" applyBorder="1"/>
    <xf numFmtId="49" fontId="0" fillId="0" borderId="1" xfId="0" applyNumberFormat="1" applyFill="1" applyBorder="1" applyAlignment="1">
      <alignment horizontal="right"/>
    </xf>
    <xf numFmtId="164" fontId="0" fillId="0" borderId="0" xfId="0" applyNumberFormat="1"/>
    <xf numFmtId="164" fontId="6" fillId="2" borderId="1" xfId="1" applyFont="1" applyFill="1" applyBorder="1"/>
    <xf numFmtId="49" fontId="7" fillId="2" borderId="1" xfId="0" applyNumberFormat="1" applyFont="1" applyFill="1" applyBorder="1"/>
    <xf numFmtId="164" fontId="5" fillId="0" borderId="1" xfId="1" applyFont="1" applyBorder="1"/>
    <xf numFmtId="49" fontId="0" fillId="0" borderId="0" xfId="0" applyNumberFormat="1" applyAlignment="1">
      <alignment horizontal="right"/>
    </xf>
    <xf numFmtId="0" fontId="0" fillId="0" borderId="0" xfId="0" applyFill="1"/>
    <xf numFmtId="49" fontId="0" fillId="0" borderId="1" xfId="0" applyNumberFormat="1" applyFill="1" applyBorder="1"/>
    <xf numFmtId="0" fontId="6" fillId="0" borderId="0" xfId="0" applyFont="1"/>
    <xf numFmtId="164" fontId="7" fillId="0" borderId="0" xfId="1" applyFont="1"/>
    <xf numFmtId="164" fontId="4" fillId="0" borderId="0" xfId="1" applyFont="1"/>
    <xf numFmtId="0" fontId="8" fillId="0" borderId="0" xfId="0" applyFont="1" applyFill="1"/>
    <xf numFmtId="49" fontId="7" fillId="0" borderId="0" xfId="0" applyNumberFormat="1" applyFont="1" applyAlignment="1">
      <alignment horizontal="right"/>
    </xf>
    <xf numFmtId="164" fontId="0" fillId="0" borderId="0" xfId="1" applyFont="1"/>
    <xf numFmtId="164" fontId="1" fillId="2" borderId="1" xfId="1" applyFont="1" applyFill="1" applyBorder="1"/>
    <xf numFmtId="164" fontId="0" fillId="0" borderId="0" xfId="0" applyNumberFormat="1" applyFill="1"/>
    <xf numFmtId="0" fontId="6" fillId="0" borderId="1" xfId="0" applyFont="1" applyBorder="1" applyAlignment="1">
      <alignment vertical="center" wrapText="1"/>
    </xf>
    <xf numFmtId="49" fontId="4" fillId="0" borderId="0" xfId="0" applyNumberFormat="1" applyFont="1"/>
    <xf numFmtId="164" fontId="1" fillId="0" borderId="1" xfId="1" applyFont="1" applyFill="1" applyBorder="1"/>
    <xf numFmtId="0" fontId="1" fillId="0" borderId="0" xfId="0" applyFont="1"/>
    <xf numFmtId="164" fontId="5" fillId="3" borderId="1" xfId="1" applyFont="1" applyFill="1" applyBorder="1"/>
    <xf numFmtId="49" fontId="0" fillId="3" borderId="1" xfId="0" applyNumberFormat="1" applyFill="1" applyBorder="1" applyAlignment="1">
      <alignment horizontal="right"/>
    </xf>
    <xf numFmtId="164" fontId="0" fillId="4" borderId="0" xfId="0" applyNumberFormat="1" applyFill="1"/>
    <xf numFmtId="164" fontId="5" fillId="4" borderId="1" xfId="1" applyFont="1" applyFill="1" applyBorder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75"/>
  <sheetViews>
    <sheetView tabSelected="1" workbookViewId="0">
      <pane ySplit="6" topLeftCell="A1079" activePane="bottomLeft" state="frozen"/>
      <selection pane="bottomLeft" activeCell="D1307" sqref="D1307"/>
    </sheetView>
  </sheetViews>
  <sheetFormatPr defaultRowHeight="15" x14ac:dyDescent="0.25"/>
  <cols>
    <col min="1" max="1" width="28" style="6" customWidth="1"/>
    <col min="2" max="2" width="17.7109375" customWidth="1"/>
    <col min="3" max="3" width="16.42578125" bestFit="1" customWidth="1"/>
    <col min="4" max="4" width="17.7109375" bestFit="1" customWidth="1"/>
    <col min="5" max="5" width="14.7109375" bestFit="1" customWidth="1"/>
    <col min="6" max="6" width="13.5703125" bestFit="1" customWidth="1"/>
    <col min="7" max="7" width="14.7109375" bestFit="1" customWidth="1"/>
    <col min="8" max="8" width="15.140625" bestFit="1" customWidth="1"/>
    <col min="9" max="9" width="16.42578125" bestFit="1" customWidth="1"/>
    <col min="10" max="10" width="17.7109375" bestFit="1" customWidth="1"/>
    <col min="11" max="11" width="16.7109375" hidden="1" customWidth="1"/>
    <col min="12" max="12" width="14.7109375" hidden="1" customWidth="1"/>
    <col min="13" max="13" width="11.140625" hidden="1" customWidth="1"/>
    <col min="14" max="14" width="14.7109375" hidden="1" customWidth="1"/>
    <col min="15" max="15" width="0" hidden="1" customWidth="1"/>
    <col min="16" max="16" width="14.7109375" hidden="1" customWidth="1"/>
    <col min="18" max="18" width="15.7109375" customWidth="1"/>
    <col min="19" max="19" width="13.28515625" bestFit="1" customWidth="1"/>
    <col min="20" max="20" width="14.42578125" customWidth="1"/>
  </cols>
  <sheetData>
    <row r="1" spans="1:15" ht="26.25" x14ac:dyDescent="0.4">
      <c r="A1" s="45" t="s">
        <v>119</v>
      </c>
      <c r="B1" s="45"/>
      <c r="C1" s="45"/>
      <c r="D1" s="45"/>
      <c r="E1" s="45"/>
      <c r="F1" s="45"/>
      <c r="G1" s="45"/>
      <c r="H1" s="45"/>
      <c r="I1" s="45"/>
      <c r="J1" s="45"/>
    </row>
    <row r="2" spans="1:15" ht="26.25" x14ac:dyDescent="0.4">
      <c r="A2" s="7"/>
      <c r="B2" s="46" t="s">
        <v>25</v>
      </c>
      <c r="C2" s="46"/>
      <c r="D2" s="46"/>
      <c r="E2" s="46"/>
      <c r="F2" s="46"/>
      <c r="G2" s="46"/>
      <c r="H2" s="46"/>
      <c r="I2" s="46"/>
      <c r="J2" s="7"/>
    </row>
    <row r="4" spans="1:15" ht="15.75" x14ac:dyDescent="0.25">
      <c r="A4" s="42" t="s">
        <v>0</v>
      </c>
      <c r="B4" s="44" t="s">
        <v>9</v>
      </c>
      <c r="C4" s="44"/>
      <c r="D4" s="44"/>
      <c r="E4" s="44"/>
      <c r="F4" s="44"/>
      <c r="G4" s="44"/>
      <c r="H4" s="44"/>
      <c r="I4" s="44"/>
      <c r="J4" s="43" t="s">
        <v>8</v>
      </c>
    </row>
    <row r="5" spans="1:15" ht="63" x14ac:dyDescent="0.25">
      <c r="A5" s="42"/>
      <c r="B5" s="34" t="s">
        <v>1</v>
      </c>
      <c r="C5" s="34" t="s">
        <v>118</v>
      </c>
      <c r="D5" s="34" t="s">
        <v>2</v>
      </c>
      <c r="E5" s="34" t="s">
        <v>3</v>
      </c>
      <c r="F5" s="34" t="s">
        <v>4</v>
      </c>
      <c r="G5" s="34" t="s">
        <v>5</v>
      </c>
      <c r="H5" s="34" t="s">
        <v>6</v>
      </c>
      <c r="I5" s="34" t="s">
        <v>7</v>
      </c>
      <c r="J5" s="43"/>
      <c r="K5" s="1"/>
      <c r="L5" s="1"/>
      <c r="M5" s="1"/>
      <c r="N5" s="1"/>
      <c r="O5" s="1"/>
    </row>
    <row r="6" spans="1:15" ht="15.75" hidden="1" x14ac:dyDescent="0.25">
      <c r="A6" s="12"/>
      <c r="B6" s="8"/>
      <c r="C6" s="8"/>
      <c r="D6" s="8"/>
      <c r="E6" s="8"/>
      <c r="F6" s="8"/>
      <c r="G6" s="8"/>
      <c r="H6" s="8"/>
      <c r="I6" s="8"/>
      <c r="J6" s="13"/>
      <c r="K6" s="1"/>
      <c r="L6" s="1"/>
      <c r="M6" s="1"/>
      <c r="N6" s="1"/>
      <c r="O6" s="1"/>
    </row>
    <row r="7" spans="1:15" x14ac:dyDescent="0.25">
      <c r="A7" s="4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</row>
    <row r="8" spans="1:15" x14ac:dyDescent="0.25">
      <c r="A8" s="10" t="s">
        <v>10</v>
      </c>
      <c r="B8" s="2"/>
      <c r="C8" s="2"/>
      <c r="D8" s="2"/>
      <c r="E8" s="2"/>
      <c r="F8" s="2"/>
      <c r="G8" s="2"/>
      <c r="H8" s="2"/>
      <c r="I8" s="2"/>
      <c r="J8" s="2"/>
    </row>
    <row r="9" spans="1:15" x14ac:dyDescent="0.25">
      <c r="A9" s="9" t="s">
        <v>11</v>
      </c>
      <c r="B9" s="14"/>
      <c r="C9" s="14"/>
      <c r="D9" s="14">
        <f>1913240.11+256836.45+256836.45</f>
        <v>2426913.0100000002</v>
      </c>
      <c r="E9" s="14"/>
      <c r="F9" s="14"/>
      <c r="G9" s="14"/>
      <c r="H9" s="14"/>
      <c r="I9" s="14"/>
      <c r="J9" s="14">
        <f t="shared" ref="J9:J18" si="0">SUM(B9:I9)</f>
        <v>2426913.0100000002</v>
      </c>
      <c r="L9" s="19"/>
    </row>
    <row r="10" spans="1:15" x14ac:dyDescent="0.25">
      <c r="A10" s="9" t="s">
        <v>12</v>
      </c>
      <c r="B10" s="14"/>
      <c r="C10" s="14"/>
      <c r="D10" s="14">
        <f>10494.32+9057.09+1104.16+720.6+3012+3367+795+2121+400+32243.5+33600+49726.92+688.23+76.49+2526.4+1650+1593+2231+331.8+15.08+620+16345+37440+2790+1574.38+759+1376.5+3200+9100+3836.53+160+43195+1759+2751.86+5311+1124+320+170+622+1331.28+2702+339+3386.84+1732.5+178+458.8</f>
        <v>298336.28000000003</v>
      </c>
      <c r="E10" s="14">
        <f>164874.05+215.28</f>
        <v>165089.32999999999</v>
      </c>
      <c r="F10" s="14"/>
      <c r="G10" s="14"/>
      <c r="H10" s="14"/>
      <c r="I10" s="14"/>
      <c r="J10" s="14">
        <f t="shared" si="0"/>
        <v>463425.61</v>
      </c>
      <c r="L10" s="19"/>
    </row>
    <row r="11" spans="1:15" x14ac:dyDescent="0.25">
      <c r="A11" s="9" t="s">
        <v>13</v>
      </c>
      <c r="B11" s="14">
        <f>423.94+8829.18+2663.84+1397.83+741.04+2152.57+740.96+5674.79+1521.11+2978.8+13300.78+3131.99+7450.76+2936.55+4307.5</f>
        <v>58251.640000000007</v>
      </c>
      <c r="C11" s="14"/>
      <c r="D11" s="14">
        <f>1000.42+900.03</f>
        <v>1900.4499999999998</v>
      </c>
      <c r="E11" s="14"/>
      <c r="F11" s="14"/>
      <c r="G11" s="14"/>
      <c r="H11" s="14"/>
      <c r="I11" s="14"/>
      <c r="J11" s="14">
        <f t="shared" si="0"/>
        <v>60152.090000000004</v>
      </c>
      <c r="L11" s="19"/>
    </row>
    <row r="12" spans="1:15" x14ac:dyDescent="0.25">
      <c r="A12" s="9" t="s">
        <v>14</v>
      </c>
      <c r="B12" s="14"/>
      <c r="C12" s="14"/>
      <c r="D12" s="14">
        <f>809.48+50838+676.58+902.11+138.77+902.11+676.58+138.56+27400+902.11+22492.01+5147.63+1410.06+1270+998.62+200+3513.9+10651.13+3671.71</f>
        <v>132739.35999999999</v>
      </c>
      <c r="E12" s="14">
        <f>62656</f>
        <v>62656</v>
      </c>
      <c r="F12" s="14"/>
      <c r="G12" s="14"/>
      <c r="H12" s="14"/>
      <c r="I12" s="14"/>
      <c r="J12" s="14">
        <f t="shared" si="0"/>
        <v>195395.36</v>
      </c>
      <c r="L12" s="19"/>
    </row>
    <row r="13" spans="1:15" x14ac:dyDescent="0.25">
      <c r="A13" s="9" t="s">
        <v>15</v>
      </c>
      <c r="B13" s="14"/>
      <c r="C13" s="14"/>
      <c r="D13" s="14">
        <f>351+8995.37+266.66+266.66+555+560.64</f>
        <v>10995.33</v>
      </c>
      <c r="E13" s="14"/>
      <c r="F13" s="14"/>
      <c r="G13" s="14"/>
      <c r="H13" s="14"/>
      <c r="I13" s="14"/>
      <c r="J13" s="14">
        <f t="shared" si="0"/>
        <v>10995.33</v>
      </c>
      <c r="L13" s="19"/>
    </row>
    <row r="14" spans="1:15" x14ac:dyDescent="0.25">
      <c r="A14" s="9" t="s">
        <v>16</v>
      </c>
      <c r="B14" s="14">
        <v>121064.6</v>
      </c>
      <c r="C14" s="14"/>
      <c r="D14" s="14"/>
      <c r="E14" s="14"/>
      <c r="F14" s="14"/>
      <c r="G14" s="14"/>
      <c r="H14" s="14"/>
      <c r="I14" s="14"/>
      <c r="J14" s="14">
        <f t="shared" si="0"/>
        <v>121064.6</v>
      </c>
      <c r="L14" s="19"/>
    </row>
    <row r="15" spans="1:15" x14ac:dyDescent="0.25">
      <c r="A15" s="9" t="s">
        <v>17</v>
      </c>
      <c r="B15" s="14">
        <f>219.6+8248.52+971.57+570.96+989.62</f>
        <v>11000.270000000002</v>
      </c>
      <c r="C15" s="14"/>
      <c r="D15" s="14"/>
      <c r="E15" s="14"/>
      <c r="F15" s="14"/>
      <c r="G15" s="14"/>
      <c r="H15" s="14"/>
      <c r="I15" s="14"/>
      <c r="J15" s="14">
        <f t="shared" si="0"/>
        <v>11000.270000000002</v>
      </c>
      <c r="L15" s="19"/>
    </row>
    <row r="16" spans="1:15" x14ac:dyDescent="0.25">
      <c r="A16" s="9" t="s">
        <v>18</v>
      </c>
      <c r="B16" s="14">
        <f>35420.56+5903.43</f>
        <v>41323.99</v>
      </c>
      <c r="C16" s="14"/>
      <c r="D16" s="14"/>
      <c r="E16" s="14"/>
      <c r="F16" s="14"/>
      <c r="G16" s="14"/>
      <c r="H16" s="14"/>
      <c r="I16" s="14"/>
      <c r="J16" s="14">
        <f t="shared" si="0"/>
        <v>41323.99</v>
      </c>
      <c r="L16" s="19"/>
    </row>
    <row r="17" spans="1:12" x14ac:dyDescent="0.25">
      <c r="A17" s="9" t="s">
        <v>19</v>
      </c>
      <c r="B17" s="14"/>
      <c r="C17" s="14"/>
      <c r="D17" s="14"/>
      <c r="E17" s="14"/>
      <c r="F17" s="14"/>
      <c r="G17" s="14"/>
      <c r="H17" s="14"/>
      <c r="I17" s="14"/>
      <c r="J17" s="14">
        <f t="shared" si="0"/>
        <v>0</v>
      </c>
      <c r="L17" s="19"/>
    </row>
    <row r="18" spans="1:12" x14ac:dyDescent="0.25">
      <c r="A18" s="9" t="s">
        <v>20</v>
      </c>
      <c r="B18" s="14"/>
      <c r="C18" s="14"/>
      <c r="D18" s="14"/>
      <c r="E18" s="14"/>
      <c r="F18" s="14"/>
      <c r="G18" s="14"/>
      <c r="H18" s="14"/>
      <c r="I18" s="14"/>
      <c r="J18" s="14">
        <f t="shared" si="0"/>
        <v>0</v>
      </c>
      <c r="L18" s="19"/>
    </row>
    <row r="19" spans="1:12" x14ac:dyDescent="0.25">
      <c r="A19" s="5" t="s">
        <v>21</v>
      </c>
      <c r="B19" s="14">
        <f t="shared" ref="B19:J19" si="1">SUM(B9:B18)</f>
        <v>231640.5</v>
      </c>
      <c r="C19" s="14">
        <f t="shared" si="1"/>
        <v>0</v>
      </c>
      <c r="D19" s="14">
        <f t="shared" si="1"/>
        <v>2870884.43</v>
      </c>
      <c r="E19" s="14">
        <f t="shared" si="1"/>
        <v>227745.33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3330270.2600000002</v>
      </c>
      <c r="L19" s="19"/>
    </row>
    <row r="20" spans="1:12" x14ac:dyDescent="0.25">
      <c r="A20" s="9" t="s">
        <v>22</v>
      </c>
      <c r="B20" s="14"/>
      <c r="C20" s="14"/>
      <c r="D20" s="14"/>
      <c r="E20" s="14"/>
      <c r="F20" s="14"/>
      <c r="G20" s="14"/>
      <c r="H20" s="14"/>
      <c r="I20" s="14"/>
      <c r="J20" s="14">
        <f>SUM(B20:I20)</f>
        <v>0</v>
      </c>
      <c r="L20" s="19"/>
    </row>
    <row r="21" spans="1:12" x14ac:dyDescent="0.25">
      <c r="A21" s="9" t="s">
        <v>23</v>
      </c>
      <c r="B21" s="14"/>
      <c r="C21" s="14"/>
      <c r="D21" s="14"/>
      <c r="E21" s="14"/>
      <c r="F21" s="14"/>
      <c r="G21" s="14"/>
      <c r="H21" s="14"/>
      <c r="I21" s="14"/>
      <c r="J21" s="14">
        <f>SUM(B21:I21)</f>
        <v>0</v>
      </c>
      <c r="L21" s="19"/>
    </row>
    <row r="22" spans="1:12" x14ac:dyDescent="0.25">
      <c r="A22" s="5" t="s">
        <v>42</v>
      </c>
      <c r="B22" s="14">
        <f t="shared" ref="B22:J22" si="2">SUM(B20:B21)</f>
        <v>0</v>
      </c>
      <c r="C22" s="14">
        <f t="shared" si="2"/>
        <v>0</v>
      </c>
      <c r="D22" s="14">
        <f t="shared" si="2"/>
        <v>0</v>
      </c>
      <c r="E22" s="14">
        <f t="shared" si="2"/>
        <v>0</v>
      </c>
      <c r="F22" s="14">
        <f t="shared" si="2"/>
        <v>0</v>
      </c>
      <c r="G22" s="14">
        <f t="shared" si="2"/>
        <v>0</v>
      </c>
      <c r="H22" s="14">
        <f t="shared" si="2"/>
        <v>0</v>
      </c>
      <c r="I22" s="14">
        <f t="shared" si="2"/>
        <v>0</v>
      </c>
      <c r="J22" s="14">
        <f t="shared" si="2"/>
        <v>0</v>
      </c>
      <c r="L22" s="19"/>
    </row>
    <row r="23" spans="1:12" x14ac:dyDescent="0.25">
      <c r="A23" s="5" t="s">
        <v>24</v>
      </c>
      <c r="B23" s="14">
        <f t="shared" ref="B23:J23" si="3">B19+B22</f>
        <v>231640.5</v>
      </c>
      <c r="C23" s="14">
        <f t="shared" si="3"/>
        <v>0</v>
      </c>
      <c r="D23" s="14">
        <f t="shared" si="3"/>
        <v>2870884.43</v>
      </c>
      <c r="E23" s="14">
        <f t="shared" si="3"/>
        <v>227745.33</v>
      </c>
      <c r="F23" s="14">
        <f t="shared" si="3"/>
        <v>0</v>
      </c>
      <c r="G23" s="14">
        <f t="shared" si="3"/>
        <v>0</v>
      </c>
      <c r="H23" s="14">
        <f t="shared" si="3"/>
        <v>0</v>
      </c>
      <c r="I23" s="14">
        <f t="shared" si="3"/>
        <v>0</v>
      </c>
      <c r="J23" s="14">
        <f t="shared" si="3"/>
        <v>3330270.2600000002</v>
      </c>
      <c r="L23" s="19"/>
    </row>
    <row r="24" spans="1:12" x14ac:dyDescent="0.25">
      <c r="A24" s="10" t="s">
        <v>26</v>
      </c>
      <c r="B24" s="14"/>
      <c r="C24" s="14"/>
      <c r="D24" s="14"/>
      <c r="E24" s="14"/>
      <c r="F24" s="14"/>
      <c r="G24" s="14"/>
      <c r="H24" s="14"/>
      <c r="I24" s="14"/>
      <c r="J24" s="14"/>
      <c r="L24" s="19"/>
    </row>
    <row r="25" spans="1:12" x14ac:dyDescent="0.25">
      <c r="A25" s="9" t="s">
        <v>11</v>
      </c>
      <c r="B25" s="14"/>
      <c r="C25" s="14"/>
      <c r="D25" s="14">
        <f>731240.67+110806.5+110806.5</f>
        <v>952853.67</v>
      </c>
      <c r="E25" s="14"/>
      <c r="F25" s="14"/>
      <c r="G25" s="14"/>
      <c r="H25" s="14"/>
      <c r="I25" s="14"/>
      <c r="J25" s="14">
        <f t="shared" ref="J25:J37" si="4">SUM(B25:I25)</f>
        <v>952853.67</v>
      </c>
      <c r="L25" s="19"/>
    </row>
    <row r="26" spans="1:12" x14ac:dyDescent="0.25">
      <c r="A26" s="9" t="s">
        <v>12</v>
      </c>
      <c r="B26" s="14"/>
      <c r="C26" s="14"/>
      <c r="D26" s="14">
        <f>1104.16+144.12+900+1721+795+180+942+229.41+2650+2000+757.92+2356+15.08+412.95+3836.53+1600+846+534+190+1500+8222.73+771+500+600+137.64</f>
        <v>32945.54</v>
      </c>
      <c r="E26" s="14">
        <f>215.16+4505</f>
        <v>4720.16</v>
      </c>
      <c r="F26" s="14"/>
      <c r="G26" s="14"/>
      <c r="H26" s="14"/>
      <c r="I26" s="14"/>
      <c r="J26" s="14">
        <f t="shared" si="4"/>
        <v>37665.699999999997</v>
      </c>
      <c r="L26" s="19"/>
    </row>
    <row r="27" spans="1:12" x14ac:dyDescent="0.25">
      <c r="A27" s="9" t="s">
        <v>13</v>
      </c>
      <c r="B27" s="14">
        <f>472+176.6+119+200.6+178.2+740.96+740.96+4270+141.2+70.6+141.2+220.75+740.96+58.85+233.06+117.7</f>
        <v>8622.64</v>
      </c>
      <c r="C27" s="14"/>
      <c r="D27" s="14">
        <v>100.42</v>
      </c>
      <c r="E27" s="14"/>
      <c r="F27" s="14"/>
      <c r="G27" s="14"/>
      <c r="H27" s="14"/>
      <c r="I27" s="14"/>
      <c r="J27" s="14">
        <f t="shared" si="4"/>
        <v>8723.06</v>
      </c>
      <c r="L27" s="19"/>
    </row>
    <row r="28" spans="1:12" x14ac:dyDescent="0.25">
      <c r="A28" s="9" t="s">
        <v>14</v>
      </c>
      <c r="B28" s="14"/>
      <c r="C28" s="14"/>
      <c r="D28" s="14">
        <f>3524+138.56+5147.63+3738.23+998.62</f>
        <v>13547.04</v>
      </c>
      <c r="E28" s="14">
        <v>45495</v>
      </c>
      <c r="F28" s="14"/>
      <c r="G28" s="14"/>
      <c r="H28" s="14"/>
      <c r="I28" s="14"/>
      <c r="J28" s="14">
        <f t="shared" si="4"/>
        <v>59042.04</v>
      </c>
      <c r="L28" s="19"/>
    </row>
    <row r="29" spans="1:12" x14ac:dyDescent="0.25">
      <c r="A29" s="9" t="s">
        <v>15</v>
      </c>
      <c r="B29" s="14"/>
      <c r="C29" s="14"/>
      <c r="D29" s="14">
        <f>2091+319.63</f>
        <v>2410.63</v>
      </c>
      <c r="E29" s="14"/>
      <c r="F29" s="14"/>
      <c r="G29" s="14"/>
      <c r="H29" s="14"/>
      <c r="I29" s="14"/>
      <c r="J29" s="14">
        <f t="shared" si="4"/>
        <v>2410.63</v>
      </c>
      <c r="L29" s="19"/>
    </row>
    <row r="30" spans="1:12" x14ac:dyDescent="0.25">
      <c r="A30" s="9" t="s">
        <v>16</v>
      </c>
      <c r="B30" s="14"/>
      <c r="C30" s="14"/>
      <c r="D30" s="14"/>
      <c r="E30" s="14"/>
      <c r="F30" s="14"/>
      <c r="G30" s="14"/>
      <c r="H30" s="14"/>
      <c r="I30" s="14"/>
      <c r="J30" s="14">
        <f t="shared" si="4"/>
        <v>0</v>
      </c>
      <c r="L30" s="19"/>
    </row>
    <row r="31" spans="1:12" x14ac:dyDescent="0.25">
      <c r="A31" s="9" t="s">
        <v>17</v>
      </c>
      <c r="B31" s="17">
        <f>448.9+448.9+384.77+602.41+460.67+496.1+318.92+425.23</f>
        <v>3585.9</v>
      </c>
      <c r="C31" s="14"/>
      <c r="D31" s="14"/>
      <c r="E31" s="14"/>
      <c r="F31" s="14"/>
      <c r="G31" s="14"/>
      <c r="H31" s="14"/>
      <c r="I31" s="14"/>
      <c r="J31" s="14">
        <f t="shared" si="4"/>
        <v>3585.9</v>
      </c>
      <c r="L31" s="19"/>
    </row>
    <row r="32" spans="1:12" x14ac:dyDescent="0.25">
      <c r="A32" s="9" t="s">
        <v>18</v>
      </c>
      <c r="B32" s="14">
        <f>11512.5+1918.75</f>
        <v>13431.25</v>
      </c>
      <c r="C32" s="14"/>
      <c r="D32" s="14"/>
      <c r="E32" s="14"/>
      <c r="F32" s="14"/>
      <c r="G32" s="14"/>
      <c r="H32" s="14"/>
      <c r="I32" s="14"/>
      <c r="J32" s="14">
        <f t="shared" si="4"/>
        <v>13431.25</v>
      </c>
      <c r="L32" s="19"/>
    </row>
    <row r="33" spans="1:12" x14ac:dyDescent="0.25">
      <c r="A33" s="9" t="s">
        <v>19</v>
      </c>
      <c r="B33" s="14"/>
      <c r="C33" s="14"/>
      <c r="D33" s="14"/>
      <c r="E33" s="14"/>
      <c r="F33" s="14"/>
      <c r="G33" s="14"/>
      <c r="H33" s="14"/>
      <c r="I33" s="14"/>
      <c r="J33" s="14">
        <f t="shared" si="4"/>
        <v>0</v>
      </c>
      <c r="L33" s="19"/>
    </row>
    <row r="34" spans="1:12" x14ac:dyDescent="0.25">
      <c r="A34" s="9" t="s">
        <v>20</v>
      </c>
      <c r="B34" s="14">
        <f>49200</f>
        <v>49200</v>
      </c>
      <c r="C34" s="14"/>
      <c r="D34" s="14"/>
      <c r="E34" s="14"/>
      <c r="F34" s="14"/>
      <c r="G34" s="14"/>
      <c r="H34" s="14"/>
      <c r="I34" s="14"/>
      <c r="J34" s="14">
        <f t="shared" si="4"/>
        <v>49200</v>
      </c>
      <c r="L34" s="19"/>
    </row>
    <row r="35" spans="1:12" x14ac:dyDescent="0.25">
      <c r="A35" s="5" t="s">
        <v>21</v>
      </c>
      <c r="B35" s="14">
        <f t="shared" ref="B35:I35" si="5">SUM(B25:B34)</f>
        <v>74839.790000000008</v>
      </c>
      <c r="C35" s="14">
        <f t="shared" si="5"/>
        <v>0</v>
      </c>
      <c r="D35" s="14">
        <f t="shared" si="5"/>
        <v>1001857.3000000002</v>
      </c>
      <c r="E35" s="14">
        <f t="shared" si="5"/>
        <v>50215.16</v>
      </c>
      <c r="F35" s="14">
        <f t="shared" si="5"/>
        <v>0</v>
      </c>
      <c r="G35" s="14">
        <f t="shared" si="5"/>
        <v>0</v>
      </c>
      <c r="H35" s="14">
        <f t="shared" si="5"/>
        <v>0</v>
      </c>
      <c r="I35" s="14">
        <f t="shared" si="5"/>
        <v>0</v>
      </c>
      <c r="J35" s="14">
        <f t="shared" si="4"/>
        <v>1126912.25</v>
      </c>
      <c r="L35" s="19"/>
    </row>
    <row r="36" spans="1:12" x14ac:dyDescent="0.25">
      <c r="A36" s="9" t="s">
        <v>22</v>
      </c>
      <c r="B36" s="14"/>
      <c r="C36" s="14"/>
      <c r="D36" s="14"/>
      <c r="E36" s="14"/>
      <c r="F36" s="14"/>
      <c r="G36" s="14"/>
      <c r="H36" s="14"/>
      <c r="I36" s="14"/>
      <c r="J36" s="14">
        <f t="shared" si="4"/>
        <v>0</v>
      </c>
      <c r="L36" s="19"/>
    </row>
    <row r="37" spans="1:12" x14ac:dyDescent="0.25">
      <c r="A37" s="9" t="s">
        <v>23</v>
      </c>
      <c r="B37" s="14"/>
      <c r="C37" s="14"/>
      <c r="D37" s="14"/>
      <c r="E37" s="14"/>
      <c r="F37" s="14"/>
      <c r="G37" s="14"/>
      <c r="H37" s="14"/>
      <c r="I37" s="14"/>
      <c r="J37" s="14">
        <f t="shared" si="4"/>
        <v>0</v>
      </c>
      <c r="L37" s="19"/>
    </row>
    <row r="38" spans="1:12" x14ac:dyDescent="0.25">
      <c r="A38" s="5" t="s">
        <v>42</v>
      </c>
      <c r="B38" s="14">
        <f t="shared" ref="B38:J38" si="6">SUM(B36:B37)</f>
        <v>0</v>
      </c>
      <c r="C38" s="14">
        <f t="shared" si="6"/>
        <v>0</v>
      </c>
      <c r="D38" s="14">
        <f t="shared" si="6"/>
        <v>0</v>
      </c>
      <c r="E38" s="14">
        <f t="shared" si="6"/>
        <v>0</v>
      </c>
      <c r="F38" s="14">
        <f t="shared" si="6"/>
        <v>0</v>
      </c>
      <c r="G38" s="14">
        <f t="shared" si="6"/>
        <v>0</v>
      </c>
      <c r="H38" s="14">
        <f t="shared" si="6"/>
        <v>0</v>
      </c>
      <c r="I38" s="14">
        <f t="shared" si="6"/>
        <v>0</v>
      </c>
      <c r="J38" s="14">
        <f t="shared" si="6"/>
        <v>0</v>
      </c>
      <c r="L38" s="19"/>
    </row>
    <row r="39" spans="1:12" x14ac:dyDescent="0.25">
      <c r="A39" s="5" t="s">
        <v>24</v>
      </c>
      <c r="B39" s="14">
        <f t="shared" ref="B39:J39" si="7">B35+B38</f>
        <v>74839.790000000008</v>
      </c>
      <c r="C39" s="14">
        <f t="shared" si="7"/>
        <v>0</v>
      </c>
      <c r="D39" s="14">
        <f t="shared" si="7"/>
        <v>1001857.3000000002</v>
      </c>
      <c r="E39" s="14">
        <f t="shared" si="7"/>
        <v>50215.16</v>
      </c>
      <c r="F39" s="14">
        <f t="shared" si="7"/>
        <v>0</v>
      </c>
      <c r="G39" s="14">
        <f t="shared" si="7"/>
        <v>0</v>
      </c>
      <c r="H39" s="14">
        <f t="shared" si="7"/>
        <v>0</v>
      </c>
      <c r="I39" s="14">
        <f t="shared" si="7"/>
        <v>0</v>
      </c>
      <c r="J39" s="14">
        <f t="shared" si="7"/>
        <v>1126912.25</v>
      </c>
      <c r="L39" s="19"/>
    </row>
    <row r="40" spans="1:12" x14ac:dyDescent="0.25">
      <c r="A40" s="10" t="s">
        <v>27</v>
      </c>
      <c r="B40" s="14"/>
      <c r="C40" s="14"/>
      <c r="D40" s="14"/>
      <c r="E40" s="14"/>
      <c r="F40" s="14"/>
      <c r="G40" s="14"/>
      <c r="H40" s="14"/>
      <c r="I40" s="14"/>
      <c r="J40" s="14"/>
      <c r="L40" s="19"/>
    </row>
    <row r="41" spans="1:12" x14ac:dyDescent="0.25">
      <c r="A41" s="9" t="s">
        <v>11</v>
      </c>
      <c r="B41" s="14"/>
      <c r="C41" s="14"/>
      <c r="D41" s="14">
        <f>662855.92+108474.58+108474.58</f>
        <v>879805.08</v>
      </c>
      <c r="E41" s="14"/>
      <c r="F41" s="14"/>
      <c r="G41" s="14"/>
      <c r="H41" s="14"/>
      <c r="I41" s="14"/>
      <c r="J41" s="14">
        <f t="shared" ref="J41:J53" si="8">SUM(B41:I41)</f>
        <v>879805.08</v>
      </c>
      <c r="L41" s="19"/>
    </row>
    <row r="42" spans="1:12" x14ac:dyDescent="0.25">
      <c r="A42" s="9" t="s">
        <v>12</v>
      </c>
      <c r="B42" s="14"/>
      <c r="C42" s="14"/>
      <c r="D42" s="14">
        <f>1104.16+288.24+200+795+305.88+2650+1010.56+15.08+780+550.6+3836.54+60+240+1500+230+183.52</f>
        <v>13749.580000000002</v>
      </c>
      <c r="E42" s="14">
        <v>215.16</v>
      </c>
      <c r="F42" s="14"/>
      <c r="G42" s="14">
        <f>6890+2957+153</f>
        <v>10000</v>
      </c>
      <c r="H42" s="14"/>
      <c r="I42" s="14"/>
      <c r="J42" s="14">
        <f t="shared" si="8"/>
        <v>23964.74</v>
      </c>
      <c r="L42" s="19"/>
    </row>
    <row r="43" spans="1:12" x14ac:dyDescent="0.25">
      <c r="A43" s="9" t="s">
        <v>13</v>
      </c>
      <c r="B43" s="14">
        <f>1529.55+1692.1+740.96+740.96+254.54+600.68+127.27+35.77+1730.43+1572.34+35.77+1262.49+2898.32</f>
        <v>13221.18</v>
      </c>
      <c r="C43" s="14"/>
      <c r="D43" s="14">
        <v>1000.42</v>
      </c>
      <c r="E43" s="14"/>
      <c r="F43" s="14"/>
      <c r="G43" s="14"/>
      <c r="H43" s="14"/>
      <c r="I43" s="14"/>
      <c r="J43" s="14">
        <f t="shared" si="8"/>
        <v>14221.6</v>
      </c>
      <c r="L43" s="19"/>
    </row>
    <row r="44" spans="1:12" x14ac:dyDescent="0.25">
      <c r="A44" s="9" t="s">
        <v>14</v>
      </c>
      <c r="B44" s="14"/>
      <c r="C44" s="14"/>
      <c r="D44" s="14">
        <f>421.03+277.54+138.56+915.16+2700+421.03+5147.63+998.62+10651.13</f>
        <v>21670.7</v>
      </c>
      <c r="E44" s="14"/>
      <c r="F44" s="14"/>
      <c r="G44" s="14"/>
      <c r="H44" s="14"/>
      <c r="I44" s="14"/>
      <c r="J44" s="14">
        <f t="shared" si="8"/>
        <v>21670.7</v>
      </c>
      <c r="L44" s="19"/>
    </row>
    <row r="45" spans="1:12" x14ac:dyDescent="0.25">
      <c r="A45" s="9" t="s">
        <v>15</v>
      </c>
      <c r="B45" s="14"/>
      <c r="C45" s="14"/>
      <c r="D45" s="14">
        <v>5409.2</v>
      </c>
      <c r="E45" s="14"/>
      <c r="F45" s="14"/>
      <c r="G45" s="14"/>
      <c r="H45" s="14"/>
      <c r="I45" s="14"/>
      <c r="J45" s="14">
        <f t="shared" si="8"/>
        <v>5409.2</v>
      </c>
      <c r="L45" s="19"/>
    </row>
    <row r="46" spans="1:12" x14ac:dyDescent="0.25">
      <c r="A46" s="9" t="s">
        <v>16</v>
      </c>
      <c r="B46" s="14"/>
      <c r="C46" s="14"/>
      <c r="D46" s="14"/>
      <c r="E46" s="14"/>
      <c r="F46" s="14"/>
      <c r="G46" s="14"/>
      <c r="H46" s="14"/>
      <c r="I46" s="14"/>
      <c r="J46" s="14">
        <f t="shared" si="8"/>
        <v>0</v>
      </c>
      <c r="L46" s="19"/>
    </row>
    <row r="47" spans="1:12" x14ac:dyDescent="0.25">
      <c r="A47" s="9" t="s">
        <v>17</v>
      </c>
      <c r="B47" s="14">
        <f>44.16+61.82+35.33+35.33+44.16+26.5+35.33</f>
        <v>282.63</v>
      </c>
      <c r="C47" s="14"/>
      <c r="D47" s="14"/>
      <c r="E47" s="14"/>
      <c r="F47" s="14"/>
      <c r="G47" s="14"/>
      <c r="H47" s="14"/>
      <c r="I47" s="14"/>
      <c r="J47" s="14">
        <f t="shared" si="8"/>
        <v>282.63</v>
      </c>
      <c r="L47" s="19"/>
    </row>
    <row r="48" spans="1:12" x14ac:dyDescent="0.25">
      <c r="A48" s="9" t="s">
        <v>18</v>
      </c>
      <c r="B48" s="14">
        <f>205.29+310.67+35.33+290.74</f>
        <v>842.03000000000009</v>
      </c>
      <c r="C48" s="14"/>
      <c r="D48" s="14"/>
      <c r="E48" s="14"/>
      <c r="F48" s="14"/>
      <c r="G48" s="14"/>
      <c r="H48" s="14"/>
      <c r="I48" s="14"/>
      <c r="J48" s="14">
        <f t="shared" si="8"/>
        <v>842.03000000000009</v>
      </c>
      <c r="L48" s="19"/>
    </row>
    <row r="49" spans="1:12" x14ac:dyDescent="0.25">
      <c r="A49" s="9" t="s">
        <v>19</v>
      </c>
      <c r="B49" s="14"/>
      <c r="C49" s="14"/>
      <c r="D49" s="14"/>
      <c r="E49" s="14"/>
      <c r="F49" s="14"/>
      <c r="G49" s="14"/>
      <c r="H49" s="14"/>
      <c r="I49" s="14"/>
      <c r="J49" s="14">
        <f t="shared" si="8"/>
        <v>0</v>
      </c>
      <c r="L49" s="19"/>
    </row>
    <row r="50" spans="1:12" x14ac:dyDescent="0.25">
      <c r="A50" s="9" t="s">
        <v>20</v>
      </c>
      <c r="B50" s="14"/>
      <c r="C50" s="14"/>
      <c r="D50" s="14"/>
      <c r="E50" s="14"/>
      <c r="F50" s="14"/>
      <c r="G50" s="14"/>
      <c r="H50" s="14"/>
      <c r="I50" s="14"/>
      <c r="J50" s="14">
        <f t="shared" si="8"/>
        <v>0</v>
      </c>
      <c r="L50" s="19"/>
    </row>
    <row r="51" spans="1:12" x14ac:dyDescent="0.25">
      <c r="A51" s="5" t="s">
        <v>21</v>
      </c>
      <c r="B51" s="14">
        <f t="shared" ref="B51:I51" si="9">SUM(B41:B50)</f>
        <v>14345.84</v>
      </c>
      <c r="C51" s="14">
        <f t="shared" si="9"/>
        <v>0</v>
      </c>
      <c r="D51" s="14">
        <f t="shared" si="9"/>
        <v>921634.97999999986</v>
      </c>
      <c r="E51" s="14">
        <f t="shared" si="9"/>
        <v>215.16</v>
      </c>
      <c r="F51" s="14">
        <f t="shared" si="9"/>
        <v>0</v>
      </c>
      <c r="G51" s="14">
        <f t="shared" si="9"/>
        <v>10000</v>
      </c>
      <c r="H51" s="14">
        <f t="shared" si="9"/>
        <v>0</v>
      </c>
      <c r="I51" s="14">
        <f t="shared" si="9"/>
        <v>0</v>
      </c>
      <c r="J51" s="14">
        <f t="shared" si="8"/>
        <v>946195.97999999986</v>
      </c>
      <c r="L51" s="19"/>
    </row>
    <row r="52" spans="1:12" x14ac:dyDescent="0.25">
      <c r="A52" s="9" t="s">
        <v>22</v>
      </c>
      <c r="B52" s="14"/>
      <c r="C52" s="14"/>
      <c r="D52" s="14"/>
      <c r="E52" s="14"/>
      <c r="F52" s="14"/>
      <c r="G52" s="14"/>
      <c r="H52" s="14"/>
      <c r="I52" s="14"/>
      <c r="J52" s="14">
        <f t="shared" si="8"/>
        <v>0</v>
      </c>
      <c r="L52" s="19"/>
    </row>
    <row r="53" spans="1:12" x14ac:dyDescent="0.25">
      <c r="A53" s="9" t="s">
        <v>23</v>
      </c>
      <c r="B53" s="14"/>
      <c r="C53" s="14"/>
      <c r="D53" s="14"/>
      <c r="E53" s="14"/>
      <c r="F53" s="14"/>
      <c r="G53" s="14"/>
      <c r="H53" s="14"/>
      <c r="I53" s="14"/>
      <c r="J53" s="14">
        <f t="shared" si="8"/>
        <v>0</v>
      </c>
      <c r="L53" s="19"/>
    </row>
    <row r="54" spans="1:12" x14ac:dyDescent="0.25">
      <c r="A54" s="5" t="s">
        <v>42</v>
      </c>
      <c r="B54" s="14">
        <f t="shared" ref="B54:J54" si="10">SUM(B52:B53)</f>
        <v>0</v>
      </c>
      <c r="C54" s="14">
        <f t="shared" si="10"/>
        <v>0</v>
      </c>
      <c r="D54" s="14">
        <f t="shared" si="10"/>
        <v>0</v>
      </c>
      <c r="E54" s="14">
        <f t="shared" si="10"/>
        <v>0</v>
      </c>
      <c r="F54" s="14">
        <f t="shared" si="10"/>
        <v>0</v>
      </c>
      <c r="G54" s="14">
        <f t="shared" si="10"/>
        <v>0</v>
      </c>
      <c r="H54" s="14">
        <f t="shared" si="10"/>
        <v>0</v>
      </c>
      <c r="I54" s="14">
        <f t="shared" si="10"/>
        <v>0</v>
      </c>
      <c r="J54" s="14">
        <f t="shared" si="10"/>
        <v>0</v>
      </c>
      <c r="L54" s="19"/>
    </row>
    <row r="55" spans="1:12" x14ac:dyDescent="0.25">
      <c r="A55" s="5" t="s">
        <v>24</v>
      </c>
      <c r="B55" s="14">
        <f t="shared" ref="B55:J55" si="11">B51+B54</f>
        <v>14345.84</v>
      </c>
      <c r="C55" s="14">
        <f t="shared" si="11"/>
        <v>0</v>
      </c>
      <c r="D55" s="14">
        <f t="shared" si="11"/>
        <v>921634.97999999986</v>
      </c>
      <c r="E55" s="14">
        <f t="shared" si="11"/>
        <v>215.16</v>
      </c>
      <c r="F55" s="14">
        <f t="shared" si="11"/>
        <v>0</v>
      </c>
      <c r="G55" s="14">
        <f t="shared" si="11"/>
        <v>10000</v>
      </c>
      <c r="H55" s="14">
        <f t="shared" si="11"/>
        <v>0</v>
      </c>
      <c r="I55" s="14">
        <f t="shared" si="11"/>
        <v>0</v>
      </c>
      <c r="J55" s="14">
        <f t="shared" si="11"/>
        <v>946195.97999999986</v>
      </c>
      <c r="L55" s="19"/>
    </row>
    <row r="56" spans="1:12" x14ac:dyDescent="0.25">
      <c r="A56" s="16" t="s">
        <v>112</v>
      </c>
      <c r="B56" s="17"/>
      <c r="C56" s="17"/>
      <c r="D56" s="17"/>
      <c r="E56" s="17"/>
      <c r="F56" s="17"/>
      <c r="G56" s="17"/>
      <c r="H56" s="17"/>
      <c r="I56" s="17"/>
      <c r="J56" s="17"/>
      <c r="L56" s="19"/>
    </row>
    <row r="57" spans="1:12" x14ac:dyDescent="0.25">
      <c r="A57" s="18" t="s">
        <v>11</v>
      </c>
      <c r="B57" s="17"/>
      <c r="C57" s="17"/>
      <c r="D57" s="17">
        <f>611470.29+53574.64+53574.64</f>
        <v>718619.57000000007</v>
      </c>
      <c r="E57" s="17"/>
      <c r="F57" s="17"/>
      <c r="G57" s="17"/>
      <c r="H57" s="17"/>
      <c r="I57" s="17"/>
      <c r="J57" s="17">
        <f t="shared" ref="J57:J69" si="12">SUM(B57:I57)</f>
        <v>718619.57000000007</v>
      </c>
      <c r="L57" s="19"/>
    </row>
    <row r="58" spans="1:12" x14ac:dyDescent="0.25">
      <c r="A58" s="18" t="s">
        <v>12</v>
      </c>
      <c r="B58" s="17">
        <f>2950+1495</f>
        <v>4445</v>
      </c>
      <c r="C58" s="17"/>
      <c r="D58" s="17">
        <f>144.12+1970+130+2750+4850+152.94+1375+505.28+1495+15.08+2950+275.3+5900+2900+750.08+196+91.76</f>
        <v>26450.560000000001</v>
      </c>
      <c r="E58" s="17">
        <v>215.16</v>
      </c>
      <c r="F58" s="17"/>
      <c r="G58" s="17"/>
      <c r="H58" s="17"/>
      <c r="I58" s="17"/>
      <c r="J58" s="17">
        <f t="shared" si="12"/>
        <v>31110.720000000001</v>
      </c>
      <c r="L58" s="19"/>
    </row>
    <row r="59" spans="1:12" x14ac:dyDescent="0.25">
      <c r="A59" s="18" t="s">
        <v>13</v>
      </c>
      <c r="B59" s="17">
        <f>4270+4414.57+740.96+336.13</f>
        <v>9761.659999999998</v>
      </c>
      <c r="C59" s="17"/>
      <c r="D59" s="17">
        <v>1000.42</v>
      </c>
      <c r="E59" s="17"/>
      <c r="F59" s="17"/>
      <c r="G59" s="17"/>
      <c r="H59" s="17"/>
      <c r="I59" s="17"/>
      <c r="J59" s="17">
        <f t="shared" si="12"/>
        <v>10762.079999999998</v>
      </c>
      <c r="L59" s="19"/>
    </row>
    <row r="60" spans="1:12" x14ac:dyDescent="0.25">
      <c r="A60" s="18" t="s">
        <v>14</v>
      </c>
      <c r="B60" s="17">
        <f>996.77</f>
        <v>996.77</v>
      </c>
      <c r="C60" s="17"/>
      <c r="D60" s="17">
        <f>641.45+138.77+1319.89+888+444+3738.23+1822.49</f>
        <v>8992.83</v>
      </c>
      <c r="E60" s="17"/>
      <c r="F60" s="17"/>
      <c r="G60" s="17"/>
      <c r="H60" s="17"/>
      <c r="I60" s="17"/>
      <c r="J60" s="17">
        <f t="shared" si="12"/>
        <v>9989.6</v>
      </c>
      <c r="L60" s="19"/>
    </row>
    <row r="61" spans="1:12" x14ac:dyDescent="0.25">
      <c r="A61" s="18" t="s">
        <v>15</v>
      </c>
      <c r="B61" s="17"/>
      <c r="C61" s="17"/>
      <c r="D61" s="17">
        <f>2545.04+2004+1500</f>
        <v>6049.04</v>
      </c>
      <c r="E61" s="17"/>
      <c r="F61" s="17"/>
      <c r="G61" s="17"/>
      <c r="H61" s="17"/>
      <c r="I61" s="17"/>
      <c r="J61" s="17">
        <f t="shared" si="12"/>
        <v>6049.04</v>
      </c>
      <c r="L61" s="19"/>
    </row>
    <row r="62" spans="1:12" x14ac:dyDescent="0.25">
      <c r="A62" s="18" t="s">
        <v>16</v>
      </c>
      <c r="B62" s="17"/>
      <c r="C62" s="17"/>
      <c r="D62" s="17"/>
      <c r="E62" s="17"/>
      <c r="F62" s="17"/>
      <c r="G62" s="17"/>
      <c r="H62" s="17"/>
      <c r="I62" s="17"/>
      <c r="J62" s="17">
        <f t="shared" si="12"/>
        <v>0</v>
      </c>
      <c r="L62" s="19"/>
    </row>
    <row r="63" spans="1:12" x14ac:dyDescent="0.25">
      <c r="A63" s="18" t="s">
        <v>17</v>
      </c>
      <c r="B63" s="17"/>
      <c r="C63" s="17"/>
      <c r="D63" s="17"/>
      <c r="E63" s="17"/>
      <c r="F63" s="17"/>
      <c r="G63" s="17"/>
      <c r="H63" s="17"/>
      <c r="I63" s="17"/>
      <c r="J63" s="17">
        <f t="shared" si="12"/>
        <v>0</v>
      </c>
      <c r="L63" s="19"/>
    </row>
    <row r="64" spans="1:12" x14ac:dyDescent="0.25">
      <c r="A64" s="18" t="s">
        <v>18</v>
      </c>
      <c r="B64" s="17">
        <f>21351.76+3558.63</f>
        <v>24910.39</v>
      </c>
      <c r="C64" s="17"/>
      <c r="D64" s="17"/>
      <c r="E64" s="17"/>
      <c r="F64" s="17"/>
      <c r="G64" s="17"/>
      <c r="H64" s="17"/>
      <c r="I64" s="17"/>
      <c r="J64" s="17">
        <f t="shared" si="12"/>
        <v>24910.39</v>
      </c>
      <c r="L64" s="19"/>
    </row>
    <row r="65" spans="1:12" x14ac:dyDescent="0.25">
      <c r="A65" s="18" t="s">
        <v>19</v>
      </c>
      <c r="B65" s="17"/>
      <c r="C65" s="17"/>
      <c r="D65" s="17"/>
      <c r="E65" s="17"/>
      <c r="F65" s="17"/>
      <c r="G65" s="17"/>
      <c r="H65" s="17"/>
      <c r="I65" s="17"/>
      <c r="J65" s="17">
        <f t="shared" si="12"/>
        <v>0</v>
      </c>
      <c r="L65" s="19"/>
    </row>
    <row r="66" spans="1:12" x14ac:dyDescent="0.25">
      <c r="A66" s="18" t="s">
        <v>20</v>
      </c>
      <c r="B66" s="17">
        <f>98400-2191.85-1943.74</f>
        <v>94264.409999999989</v>
      </c>
      <c r="C66" s="17"/>
      <c r="D66" s="17"/>
      <c r="E66" s="17"/>
      <c r="F66" s="17"/>
      <c r="G66" s="17"/>
      <c r="H66" s="17"/>
      <c r="I66" s="17"/>
      <c r="J66" s="17">
        <f t="shared" si="12"/>
        <v>94264.409999999989</v>
      </c>
      <c r="L66" s="19"/>
    </row>
    <row r="67" spans="1:12" x14ac:dyDescent="0.25">
      <c r="A67" s="5" t="s">
        <v>21</v>
      </c>
      <c r="B67" s="14">
        <f t="shared" ref="B67:I67" si="13">SUM(B57:B66)</f>
        <v>134378.22999999998</v>
      </c>
      <c r="C67" s="14">
        <f t="shared" si="13"/>
        <v>0</v>
      </c>
      <c r="D67" s="14">
        <f t="shared" si="13"/>
        <v>761112.42000000016</v>
      </c>
      <c r="E67" s="14">
        <f t="shared" si="13"/>
        <v>215.16</v>
      </c>
      <c r="F67" s="14">
        <f t="shared" si="13"/>
        <v>0</v>
      </c>
      <c r="G67" s="14">
        <f t="shared" si="13"/>
        <v>0</v>
      </c>
      <c r="H67" s="14">
        <f t="shared" si="13"/>
        <v>0</v>
      </c>
      <c r="I67" s="14">
        <f t="shared" si="13"/>
        <v>0</v>
      </c>
      <c r="J67" s="14">
        <f t="shared" si="12"/>
        <v>895705.81000000017</v>
      </c>
      <c r="L67" s="19"/>
    </row>
    <row r="68" spans="1:12" x14ac:dyDescent="0.25">
      <c r="A68" s="9" t="s">
        <v>22</v>
      </c>
      <c r="B68" s="14"/>
      <c r="C68" s="14"/>
      <c r="D68" s="14"/>
      <c r="E68" s="14"/>
      <c r="F68" s="14"/>
      <c r="G68" s="14"/>
      <c r="H68" s="14"/>
      <c r="I68" s="14"/>
      <c r="J68" s="14">
        <f t="shared" si="12"/>
        <v>0</v>
      </c>
      <c r="L68" s="19"/>
    </row>
    <row r="69" spans="1:12" x14ac:dyDescent="0.25">
      <c r="A69" s="9" t="s">
        <v>23</v>
      </c>
      <c r="B69" s="14"/>
      <c r="C69" s="14"/>
      <c r="D69" s="14"/>
      <c r="E69" s="14"/>
      <c r="F69" s="14"/>
      <c r="G69" s="14"/>
      <c r="H69" s="14"/>
      <c r="I69" s="14"/>
      <c r="J69" s="14">
        <f t="shared" si="12"/>
        <v>0</v>
      </c>
      <c r="L69" s="19"/>
    </row>
    <row r="70" spans="1:12" x14ac:dyDescent="0.25">
      <c r="A70" s="5" t="s">
        <v>42</v>
      </c>
      <c r="B70" s="14">
        <f t="shared" ref="B70:J70" si="14">SUM(B68:B69)</f>
        <v>0</v>
      </c>
      <c r="C70" s="14">
        <f t="shared" si="14"/>
        <v>0</v>
      </c>
      <c r="D70" s="14">
        <f t="shared" si="14"/>
        <v>0</v>
      </c>
      <c r="E70" s="14">
        <f t="shared" si="14"/>
        <v>0</v>
      </c>
      <c r="F70" s="14">
        <f t="shared" si="14"/>
        <v>0</v>
      </c>
      <c r="G70" s="14">
        <f t="shared" si="14"/>
        <v>0</v>
      </c>
      <c r="H70" s="14">
        <f t="shared" si="14"/>
        <v>0</v>
      </c>
      <c r="I70" s="14">
        <f t="shared" si="14"/>
        <v>0</v>
      </c>
      <c r="J70" s="14">
        <f t="shared" si="14"/>
        <v>0</v>
      </c>
      <c r="L70" s="19"/>
    </row>
    <row r="71" spans="1:12" x14ac:dyDescent="0.25">
      <c r="A71" s="5" t="s">
        <v>24</v>
      </c>
      <c r="B71" s="14">
        <f t="shared" ref="B71:J71" si="15">B67+B70</f>
        <v>134378.22999999998</v>
      </c>
      <c r="C71" s="14">
        <f t="shared" si="15"/>
        <v>0</v>
      </c>
      <c r="D71" s="14">
        <f t="shared" si="15"/>
        <v>761112.42000000016</v>
      </c>
      <c r="E71" s="14">
        <f t="shared" si="15"/>
        <v>215.16</v>
      </c>
      <c r="F71" s="14">
        <f t="shared" si="15"/>
        <v>0</v>
      </c>
      <c r="G71" s="14">
        <f t="shared" si="15"/>
        <v>0</v>
      </c>
      <c r="H71" s="14">
        <f t="shared" si="15"/>
        <v>0</v>
      </c>
      <c r="I71" s="14">
        <f t="shared" si="15"/>
        <v>0</v>
      </c>
      <c r="J71" s="14">
        <f t="shared" si="15"/>
        <v>895705.81000000017</v>
      </c>
      <c r="L71" s="19"/>
    </row>
    <row r="72" spans="1:12" s="24" customFormat="1" x14ac:dyDescent="0.25">
      <c r="A72" s="16" t="s">
        <v>35</v>
      </c>
      <c r="B72" s="17"/>
      <c r="C72" s="17"/>
      <c r="D72" s="17"/>
      <c r="E72" s="17"/>
      <c r="F72" s="17"/>
      <c r="G72" s="17"/>
      <c r="H72" s="17"/>
      <c r="I72" s="17"/>
      <c r="J72" s="17"/>
      <c r="L72" s="19"/>
    </row>
    <row r="73" spans="1:12" s="24" customFormat="1" x14ac:dyDescent="0.25">
      <c r="A73" s="18" t="s">
        <v>11</v>
      </c>
      <c r="B73" s="17"/>
      <c r="C73" s="17"/>
      <c r="D73" s="17">
        <f>328308.67+39631.07+39631.07</f>
        <v>407570.81</v>
      </c>
      <c r="E73" s="17"/>
      <c r="F73" s="17"/>
      <c r="G73" s="17"/>
      <c r="H73" s="17"/>
      <c r="I73" s="17"/>
      <c r="J73" s="17">
        <f t="shared" ref="J73:J85" si="16">SUM(B73:I73)</f>
        <v>407570.81</v>
      </c>
      <c r="L73" s="19"/>
    </row>
    <row r="74" spans="1:12" s="24" customFormat="1" x14ac:dyDescent="0.25">
      <c r="A74" s="18" t="s">
        <v>12</v>
      </c>
      <c r="B74" s="17"/>
      <c r="C74" s="17"/>
      <c r="D74" s="17">
        <f>1229+347+1104.16+72.06+719+795+76.47+2650+252.64+137.65+3836.53+431.5+45.88</f>
        <v>11696.89</v>
      </c>
      <c r="E74" s="17">
        <v>215.16</v>
      </c>
      <c r="F74" s="17"/>
      <c r="G74" s="17"/>
      <c r="H74" s="17"/>
      <c r="I74" s="17"/>
      <c r="J74" s="17">
        <f t="shared" si="16"/>
        <v>11912.05</v>
      </c>
      <c r="L74" s="19"/>
    </row>
    <row r="75" spans="1:12" s="24" customFormat="1" x14ac:dyDescent="0.25">
      <c r="A75" s="18" t="s">
        <v>13</v>
      </c>
      <c r="B75" s="17">
        <v>740.96</v>
      </c>
      <c r="C75" s="17"/>
      <c r="D75" s="17">
        <v>1000.42</v>
      </c>
      <c r="E75" s="17"/>
      <c r="F75" s="17"/>
      <c r="G75" s="17"/>
      <c r="H75" s="17"/>
      <c r="I75" s="17"/>
      <c r="J75" s="17">
        <f t="shared" si="16"/>
        <v>1741.38</v>
      </c>
      <c r="L75" s="19"/>
    </row>
    <row r="76" spans="1:12" s="24" customFormat="1" x14ac:dyDescent="0.25">
      <c r="A76" s="18" t="s">
        <v>14</v>
      </c>
      <c r="B76" s="17"/>
      <c r="C76" s="17"/>
      <c r="D76" s="17">
        <f>39+446.22+888+444+10651.13</f>
        <v>12468.349999999999</v>
      </c>
      <c r="E76" s="17"/>
      <c r="F76" s="17"/>
      <c r="G76" s="17"/>
      <c r="H76" s="17"/>
      <c r="I76" s="17"/>
      <c r="J76" s="17">
        <f t="shared" si="16"/>
        <v>12468.349999999999</v>
      </c>
      <c r="L76" s="19"/>
    </row>
    <row r="77" spans="1:12" s="24" customFormat="1" x14ac:dyDescent="0.25">
      <c r="A77" s="18" t="s">
        <v>15</v>
      </c>
      <c r="B77" s="17"/>
      <c r="C77" s="17"/>
      <c r="D77" s="17">
        <v>291</v>
      </c>
      <c r="E77" s="17"/>
      <c r="F77" s="17"/>
      <c r="G77" s="17"/>
      <c r="H77" s="17"/>
      <c r="I77" s="17"/>
      <c r="J77" s="17">
        <f t="shared" si="16"/>
        <v>291</v>
      </c>
      <c r="L77" s="19"/>
    </row>
    <row r="78" spans="1:12" s="24" customFormat="1" x14ac:dyDescent="0.25">
      <c r="A78" s="18" t="s">
        <v>16</v>
      </c>
      <c r="B78" s="17"/>
      <c r="C78" s="17"/>
      <c r="D78" s="17"/>
      <c r="E78" s="17"/>
      <c r="F78" s="17"/>
      <c r="G78" s="17"/>
      <c r="H78" s="17"/>
      <c r="I78" s="17"/>
      <c r="J78" s="17">
        <f t="shared" si="16"/>
        <v>0</v>
      </c>
      <c r="L78" s="19"/>
    </row>
    <row r="79" spans="1:12" s="24" customFormat="1" x14ac:dyDescent="0.25">
      <c r="A79" s="18" t="s">
        <v>17</v>
      </c>
      <c r="B79" s="17"/>
      <c r="C79" s="17"/>
      <c r="D79" s="17"/>
      <c r="E79" s="17"/>
      <c r="F79" s="17"/>
      <c r="G79" s="17"/>
      <c r="H79" s="17"/>
      <c r="I79" s="17"/>
      <c r="J79" s="17">
        <f t="shared" si="16"/>
        <v>0</v>
      </c>
      <c r="L79" s="19"/>
    </row>
    <row r="80" spans="1:12" s="24" customFormat="1" x14ac:dyDescent="0.25">
      <c r="A80" s="18" t="s">
        <v>18</v>
      </c>
      <c r="B80" s="17">
        <f>2066.11+344.35</f>
        <v>2410.46</v>
      </c>
      <c r="C80" s="17"/>
      <c r="D80" s="17"/>
      <c r="E80" s="17"/>
      <c r="F80" s="17"/>
      <c r="G80" s="17"/>
      <c r="H80" s="17"/>
      <c r="I80" s="17"/>
      <c r="J80" s="17">
        <f t="shared" si="16"/>
        <v>2410.46</v>
      </c>
      <c r="L80" s="19"/>
    </row>
    <row r="81" spans="1:12" s="24" customFormat="1" x14ac:dyDescent="0.25">
      <c r="A81" s="18" t="s">
        <v>19</v>
      </c>
      <c r="B81" s="17">
        <f>4018.42+3816.42+266.66+266.65+40.38</f>
        <v>8408.5299999999988</v>
      </c>
      <c r="C81" s="17"/>
      <c r="D81" s="17"/>
      <c r="E81" s="17"/>
      <c r="F81" s="17"/>
      <c r="G81" s="17"/>
      <c r="H81" s="17"/>
      <c r="I81" s="17"/>
      <c r="J81" s="17">
        <f t="shared" si="16"/>
        <v>8408.5299999999988</v>
      </c>
      <c r="L81" s="19"/>
    </row>
    <row r="82" spans="1:12" s="24" customFormat="1" x14ac:dyDescent="0.25">
      <c r="A82" s="18" t="s">
        <v>20</v>
      </c>
      <c r="B82" s="17"/>
      <c r="C82" s="17"/>
      <c r="D82" s="17"/>
      <c r="E82" s="17"/>
      <c r="F82" s="17"/>
      <c r="G82" s="17"/>
      <c r="H82" s="17"/>
      <c r="I82" s="17"/>
      <c r="J82" s="17">
        <f t="shared" si="16"/>
        <v>0</v>
      </c>
      <c r="L82" s="19"/>
    </row>
    <row r="83" spans="1:12" s="24" customFormat="1" x14ac:dyDescent="0.25">
      <c r="A83" s="25" t="s">
        <v>21</v>
      </c>
      <c r="B83" s="17">
        <f t="shared" ref="B83:I83" si="17">SUM(B73:B82)</f>
        <v>11559.949999999999</v>
      </c>
      <c r="C83" s="17">
        <f t="shared" si="17"/>
        <v>0</v>
      </c>
      <c r="D83" s="17">
        <f t="shared" si="17"/>
        <v>433027.47</v>
      </c>
      <c r="E83" s="17">
        <f t="shared" si="17"/>
        <v>215.16</v>
      </c>
      <c r="F83" s="17">
        <f t="shared" si="17"/>
        <v>0</v>
      </c>
      <c r="G83" s="17">
        <f t="shared" si="17"/>
        <v>0</v>
      </c>
      <c r="H83" s="17">
        <f t="shared" si="17"/>
        <v>0</v>
      </c>
      <c r="I83" s="17">
        <f t="shared" si="17"/>
        <v>0</v>
      </c>
      <c r="J83" s="17">
        <f t="shared" si="16"/>
        <v>444802.57999999996</v>
      </c>
      <c r="L83" s="19"/>
    </row>
    <row r="84" spans="1:12" x14ac:dyDescent="0.25">
      <c r="A84" s="9" t="s">
        <v>22</v>
      </c>
      <c r="B84" s="14"/>
      <c r="C84" s="14"/>
      <c r="D84" s="14"/>
      <c r="E84" s="14"/>
      <c r="F84" s="14"/>
      <c r="G84" s="14"/>
      <c r="H84" s="14"/>
      <c r="I84" s="14"/>
      <c r="J84" s="14">
        <f t="shared" si="16"/>
        <v>0</v>
      </c>
      <c r="L84" s="19"/>
    </row>
    <row r="85" spans="1:12" x14ac:dyDescent="0.25">
      <c r="A85" s="9" t="s">
        <v>23</v>
      </c>
      <c r="B85" s="14"/>
      <c r="C85" s="14"/>
      <c r="D85" s="14"/>
      <c r="E85" s="14"/>
      <c r="F85" s="14"/>
      <c r="G85" s="14"/>
      <c r="H85" s="14"/>
      <c r="I85" s="14"/>
      <c r="J85" s="14">
        <f t="shared" si="16"/>
        <v>0</v>
      </c>
      <c r="L85" s="19"/>
    </row>
    <row r="86" spans="1:12" x14ac:dyDescent="0.25">
      <c r="A86" s="5" t="s">
        <v>42</v>
      </c>
      <c r="B86" s="14">
        <f t="shared" ref="B86:J86" si="18">SUM(B84:B85)</f>
        <v>0</v>
      </c>
      <c r="C86" s="14">
        <f t="shared" si="18"/>
        <v>0</v>
      </c>
      <c r="D86" s="14">
        <f t="shared" si="18"/>
        <v>0</v>
      </c>
      <c r="E86" s="14">
        <f t="shared" si="18"/>
        <v>0</v>
      </c>
      <c r="F86" s="14">
        <f t="shared" si="18"/>
        <v>0</v>
      </c>
      <c r="G86" s="14">
        <f t="shared" si="18"/>
        <v>0</v>
      </c>
      <c r="H86" s="14">
        <f t="shared" si="18"/>
        <v>0</v>
      </c>
      <c r="I86" s="14">
        <f t="shared" si="18"/>
        <v>0</v>
      </c>
      <c r="J86" s="14">
        <f t="shared" si="18"/>
        <v>0</v>
      </c>
      <c r="L86" s="19"/>
    </row>
    <row r="87" spans="1:12" x14ac:dyDescent="0.25">
      <c r="A87" s="5" t="s">
        <v>24</v>
      </c>
      <c r="B87" s="14">
        <f t="shared" ref="B87:J87" si="19">B83+B86</f>
        <v>11559.949999999999</v>
      </c>
      <c r="C87" s="14">
        <f t="shared" si="19"/>
        <v>0</v>
      </c>
      <c r="D87" s="14">
        <f t="shared" si="19"/>
        <v>433027.47</v>
      </c>
      <c r="E87" s="14">
        <f t="shared" si="19"/>
        <v>215.16</v>
      </c>
      <c r="F87" s="14">
        <f t="shared" si="19"/>
        <v>0</v>
      </c>
      <c r="G87" s="14">
        <f t="shared" si="19"/>
        <v>0</v>
      </c>
      <c r="H87" s="14">
        <f t="shared" si="19"/>
        <v>0</v>
      </c>
      <c r="I87" s="14">
        <f t="shared" si="19"/>
        <v>0</v>
      </c>
      <c r="J87" s="14">
        <f t="shared" si="19"/>
        <v>444802.57999999996</v>
      </c>
      <c r="L87" s="19"/>
    </row>
    <row r="88" spans="1:12" x14ac:dyDescent="0.25">
      <c r="A88" s="10" t="s">
        <v>36</v>
      </c>
      <c r="B88" s="14"/>
      <c r="C88" s="14"/>
      <c r="D88" s="14"/>
      <c r="E88" s="14"/>
      <c r="F88" s="14"/>
      <c r="G88" s="14"/>
      <c r="H88" s="14"/>
      <c r="I88" s="14"/>
      <c r="J88" s="14"/>
      <c r="L88" s="19"/>
    </row>
    <row r="89" spans="1:12" x14ac:dyDescent="0.25">
      <c r="A89" s="9" t="s">
        <v>11</v>
      </c>
      <c r="B89" s="14"/>
      <c r="C89" s="14"/>
      <c r="D89" s="14">
        <f>247723.3+37752.04+37752.04</f>
        <v>323227.37999999995</v>
      </c>
      <c r="E89" s="14"/>
      <c r="F89" s="14"/>
      <c r="G89" s="14"/>
      <c r="H89" s="14"/>
      <c r="I89" s="14"/>
      <c r="J89" s="14">
        <f t="shared" ref="J89:J101" si="20">SUM(B89:I89)</f>
        <v>323227.37999999995</v>
      </c>
      <c r="L89" s="19"/>
    </row>
    <row r="90" spans="1:12" x14ac:dyDescent="0.25">
      <c r="A90" s="9" t="s">
        <v>12</v>
      </c>
      <c r="B90" s="14"/>
      <c r="C90" s="14"/>
      <c r="D90" s="14">
        <f>1104.16+72.06+795+76.47+2650+252.64+137.65+3836.54+45.88</f>
        <v>8970.4</v>
      </c>
      <c r="E90" s="14">
        <v>215.16</v>
      </c>
      <c r="F90" s="14"/>
      <c r="G90" s="14"/>
      <c r="H90" s="14"/>
      <c r="I90" s="14"/>
      <c r="J90" s="14">
        <f t="shared" si="20"/>
        <v>9185.56</v>
      </c>
      <c r="L90" s="19"/>
    </row>
    <row r="91" spans="1:12" x14ac:dyDescent="0.25">
      <c r="A91" s="9" t="s">
        <v>13</v>
      </c>
      <c r="B91" s="14">
        <f>4270+740.96</f>
        <v>5010.96</v>
      </c>
      <c r="C91" s="14"/>
      <c r="D91" s="14">
        <v>1000.42</v>
      </c>
      <c r="E91" s="14"/>
      <c r="F91" s="14"/>
      <c r="G91" s="14"/>
      <c r="H91" s="14"/>
      <c r="I91" s="14"/>
      <c r="J91" s="14">
        <f t="shared" si="20"/>
        <v>6011.38</v>
      </c>
      <c r="L91" s="19"/>
    </row>
    <row r="92" spans="1:12" x14ac:dyDescent="0.25">
      <c r="A92" s="9" t="s">
        <v>14</v>
      </c>
      <c r="B92" s="14"/>
      <c r="C92" s="14"/>
      <c r="D92" s="14">
        <f>888+444+10651.13</f>
        <v>11983.13</v>
      </c>
      <c r="E92" s="14"/>
      <c r="F92" s="14"/>
      <c r="G92" s="14"/>
      <c r="H92" s="14"/>
      <c r="I92" s="14"/>
      <c r="J92" s="14">
        <f t="shared" si="20"/>
        <v>11983.13</v>
      </c>
      <c r="L92" s="19"/>
    </row>
    <row r="93" spans="1:12" x14ac:dyDescent="0.25">
      <c r="A93" s="9" t="s">
        <v>15</v>
      </c>
      <c r="B93" s="14"/>
      <c r="C93" s="14"/>
      <c r="D93" s="14"/>
      <c r="E93" s="14"/>
      <c r="F93" s="14"/>
      <c r="G93" s="14"/>
      <c r="H93" s="14"/>
      <c r="I93" s="14"/>
      <c r="J93" s="14">
        <f t="shared" si="20"/>
        <v>0</v>
      </c>
      <c r="L93" s="19"/>
    </row>
    <row r="94" spans="1:12" x14ac:dyDescent="0.25">
      <c r="A94" s="9" t="s">
        <v>16</v>
      </c>
      <c r="B94" s="14"/>
      <c r="C94" s="14"/>
      <c r="D94" s="14"/>
      <c r="E94" s="14"/>
      <c r="F94" s="14"/>
      <c r="G94" s="14"/>
      <c r="H94" s="14"/>
      <c r="I94" s="14"/>
      <c r="J94" s="14">
        <f t="shared" si="20"/>
        <v>0</v>
      </c>
      <c r="L94" s="19"/>
    </row>
    <row r="95" spans="1:12" x14ac:dyDescent="0.25">
      <c r="A95" s="9" t="s">
        <v>17</v>
      </c>
      <c r="B95" s="14"/>
      <c r="C95" s="14"/>
      <c r="D95" s="14"/>
      <c r="E95" s="14"/>
      <c r="F95" s="14"/>
      <c r="G95" s="14"/>
      <c r="H95" s="14"/>
      <c r="I95" s="14"/>
      <c r="J95" s="14">
        <f t="shared" si="20"/>
        <v>0</v>
      </c>
      <c r="L95" s="19"/>
    </row>
    <row r="96" spans="1:12" x14ac:dyDescent="0.25">
      <c r="A96" s="9" t="s">
        <v>18</v>
      </c>
      <c r="B96" s="14">
        <f>461.13+76.85</f>
        <v>537.98</v>
      </c>
      <c r="C96" s="14"/>
      <c r="D96" s="14"/>
      <c r="E96" s="14"/>
      <c r="F96" s="14"/>
      <c r="G96" s="14"/>
      <c r="H96" s="14"/>
      <c r="I96" s="14"/>
      <c r="J96" s="14">
        <f t="shared" si="20"/>
        <v>537.98</v>
      </c>
      <c r="L96" s="19"/>
    </row>
    <row r="97" spans="1:12" x14ac:dyDescent="0.25">
      <c r="A97" s="9" t="s">
        <v>19</v>
      </c>
      <c r="B97" s="14">
        <v>10912.59</v>
      </c>
      <c r="C97" s="14"/>
      <c r="D97" s="14"/>
      <c r="E97" s="14"/>
      <c r="F97" s="14"/>
      <c r="G97" s="14"/>
      <c r="H97" s="14"/>
      <c r="I97" s="14"/>
      <c r="J97" s="14">
        <f t="shared" si="20"/>
        <v>10912.59</v>
      </c>
      <c r="L97" s="19"/>
    </row>
    <row r="98" spans="1:12" x14ac:dyDescent="0.25">
      <c r="A98" s="9" t="s">
        <v>20</v>
      </c>
      <c r="B98" s="14"/>
      <c r="C98" s="14"/>
      <c r="D98" s="14"/>
      <c r="E98" s="14"/>
      <c r="F98" s="14"/>
      <c r="G98" s="14"/>
      <c r="H98" s="14"/>
      <c r="I98" s="14"/>
      <c r="J98" s="14">
        <f t="shared" si="20"/>
        <v>0</v>
      </c>
      <c r="L98" s="19"/>
    </row>
    <row r="99" spans="1:12" x14ac:dyDescent="0.25">
      <c r="A99" s="5" t="s">
        <v>21</v>
      </c>
      <c r="B99" s="14">
        <f t="shared" ref="B99:I99" si="21">SUM(B89:B98)</f>
        <v>16461.53</v>
      </c>
      <c r="C99" s="14">
        <f t="shared" si="21"/>
        <v>0</v>
      </c>
      <c r="D99" s="14">
        <f t="shared" si="21"/>
        <v>345181.32999999996</v>
      </c>
      <c r="E99" s="14">
        <f t="shared" si="21"/>
        <v>215.16</v>
      </c>
      <c r="F99" s="14">
        <f t="shared" si="21"/>
        <v>0</v>
      </c>
      <c r="G99" s="14">
        <f t="shared" si="21"/>
        <v>0</v>
      </c>
      <c r="H99" s="14">
        <f t="shared" si="21"/>
        <v>0</v>
      </c>
      <c r="I99" s="14">
        <f t="shared" si="21"/>
        <v>0</v>
      </c>
      <c r="J99" s="14">
        <f t="shared" si="20"/>
        <v>361858.01999999996</v>
      </c>
      <c r="L99" s="19"/>
    </row>
    <row r="100" spans="1:12" x14ac:dyDescent="0.25">
      <c r="A100" s="9" t="s">
        <v>22</v>
      </c>
      <c r="B100" s="14"/>
      <c r="C100" s="14"/>
      <c r="D100" s="14"/>
      <c r="E100" s="14"/>
      <c r="F100" s="14"/>
      <c r="G100" s="14"/>
      <c r="H100" s="14"/>
      <c r="I100" s="14"/>
      <c r="J100" s="14">
        <f t="shared" si="20"/>
        <v>0</v>
      </c>
      <c r="L100" s="19"/>
    </row>
    <row r="101" spans="1:12" x14ac:dyDescent="0.25">
      <c r="A101" s="9" t="s">
        <v>23</v>
      </c>
      <c r="B101" s="14"/>
      <c r="C101" s="14"/>
      <c r="D101" s="14"/>
      <c r="E101" s="14"/>
      <c r="F101" s="14"/>
      <c r="G101" s="14"/>
      <c r="H101" s="14"/>
      <c r="I101" s="14"/>
      <c r="J101" s="14">
        <f t="shared" si="20"/>
        <v>0</v>
      </c>
      <c r="L101" s="19"/>
    </row>
    <row r="102" spans="1:12" x14ac:dyDescent="0.25">
      <c r="A102" s="5" t="s">
        <v>42</v>
      </c>
      <c r="B102" s="14">
        <f t="shared" ref="B102:J102" si="22">SUM(B100:B101)</f>
        <v>0</v>
      </c>
      <c r="C102" s="14">
        <f t="shared" si="22"/>
        <v>0</v>
      </c>
      <c r="D102" s="14">
        <f t="shared" si="22"/>
        <v>0</v>
      </c>
      <c r="E102" s="14">
        <f t="shared" si="22"/>
        <v>0</v>
      </c>
      <c r="F102" s="14">
        <f t="shared" si="22"/>
        <v>0</v>
      </c>
      <c r="G102" s="14">
        <f t="shared" si="22"/>
        <v>0</v>
      </c>
      <c r="H102" s="14">
        <f t="shared" si="22"/>
        <v>0</v>
      </c>
      <c r="I102" s="14">
        <f t="shared" si="22"/>
        <v>0</v>
      </c>
      <c r="J102" s="14">
        <f t="shared" si="22"/>
        <v>0</v>
      </c>
      <c r="L102" s="19"/>
    </row>
    <row r="103" spans="1:12" x14ac:dyDescent="0.25">
      <c r="A103" s="5" t="s">
        <v>24</v>
      </c>
      <c r="B103" s="14">
        <f t="shared" ref="B103:J103" si="23">B99+B102</f>
        <v>16461.53</v>
      </c>
      <c r="C103" s="14">
        <f t="shared" si="23"/>
        <v>0</v>
      </c>
      <c r="D103" s="14">
        <f t="shared" si="23"/>
        <v>345181.32999999996</v>
      </c>
      <c r="E103" s="14">
        <f t="shared" si="23"/>
        <v>215.16</v>
      </c>
      <c r="F103" s="14">
        <f t="shared" si="23"/>
        <v>0</v>
      </c>
      <c r="G103" s="14">
        <f t="shared" si="23"/>
        <v>0</v>
      </c>
      <c r="H103" s="14">
        <f t="shared" si="23"/>
        <v>0</v>
      </c>
      <c r="I103" s="14">
        <f t="shared" si="23"/>
        <v>0</v>
      </c>
      <c r="J103" s="14">
        <f t="shared" si="23"/>
        <v>361858.01999999996</v>
      </c>
      <c r="L103" s="19"/>
    </row>
    <row r="104" spans="1:12" x14ac:dyDescent="0.25">
      <c r="A104" s="10" t="s">
        <v>37</v>
      </c>
      <c r="B104" s="14"/>
      <c r="C104" s="14"/>
      <c r="D104" s="14"/>
      <c r="E104" s="14"/>
      <c r="F104" s="14"/>
      <c r="G104" s="14"/>
      <c r="H104" s="14"/>
      <c r="I104" s="14"/>
      <c r="J104" s="14"/>
      <c r="L104" s="19"/>
    </row>
    <row r="105" spans="1:12" x14ac:dyDescent="0.25">
      <c r="A105" s="9" t="s">
        <v>11</v>
      </c>
      <c r="B105" s="14"/>
      <c r="C105" s="14"/>
      <c r="D105" s="14">
        <f>241626.8+29047.04+29047.04</f>
        <v>299720.87999999995</v>
      </c>
      <c r="E105" s="14"/>
      <c r="F105" s="14"/>
      <c r="G105" s="14"/>
      <c r="H105" s="14"/>
      <c r="I105" s="14"/>
      <c r="J105" s="14">
        <f t="shared" ref="J105:J117" si="24">SUM(B105:I105)</f>
        <v>299720.87999999995</v>
      </c>
      <c r="L105" s="19"/>
    </row>
    <row r="106" spans="1:12" x14ac:dyDescent="0.25">
      <c r="A106" s="9" t="s">
        <v>12</v>
      </c>
      <c r="B106" s="14"/>
      <c r="C106" s="14"/>
      <c r="D106" s="14">
        <f>72.06+460+76.47+252.64+15.08+137.65+150+45.88</f>
        <v>1209.7800000000002</v>
      </c>
      <c r="E106" s="14">
        <v>215.16</v>
      </c>
      <c r="F106" s="14"/>
      <c r="G106" s="14"/>
      <c r="H106" s="14"/>
      <c r="I106" s="14"/>
      <c r="J106" s="14">
        <f t="shared" si="24"/>
        <v>1424.9400000000003</v>
      </c>
      <c r="L106" s="19"/>
    </row>
    <row r="107" spans="1:12" x14ac:dyDescent="0.25">
      <c r="A107" s="9" t="s">
        <v>13</v>
      </c>
      <c r="B107" s="14">
        <f>264.9+740.96+264.9+264.9+176.6</f>
        <v>1712.2599999999998</v>
      </c>
      <c r="C107" s="14"/>
      <c r="D107" s="14">
        <v>1000.42</v>
      </c>
      <c r="E107" s="14"/>
      <c r="F107" s="14"/>
      <c r="G107" s="14"/>
      <c r="H107" s="14"/>
      <c r="I107" s="14"/>
      <c r="J107" s="14">
        <f t="shared" si="24"/>
        <v>2712.68</v>
      </c>
      <c r="L107" s="19"/>
    </row>
    <row r="108" spans="1:12" x14ac:dyDescent="0.25">
      <c r="A108" s="9" t="s">
        <v>14</v>
      </c>
      <c r="B108" s="14"/>
      <c r="C108" s="14"/>
      <c r="D108" s="14">
        <f>1282.92+210.29+1708+888+444+3738.23</f>
        <v>8271.44</v>
      </c>
      <c r="E108" s="14"/>
      <c r="F108" s="14"/>
      <c r="G108" s="14"/>
      <c r="H108" s="14"/>
      <c r="I108" s="14"/>
      <c r="J108" s="14">
        <f t="shared" si="24"/>
        <v>8271.44</v>
      </c>
      <c r="L108" s="19"/>
    </row>
    <row r="109" spans="1:12" x14ac:dyDescent="0.25">
      <c r="A109" s="9" t="s">
        <v>15</v>
      </c>
      <c r="B109" s="14"/>
      <c r="C109" s="14"/>
      <c r="D109" s="14">
        <v>266.66000000000003</v>
      </c>
      <c r="E109" s="14"/>
      <c r="F109" s="14"/>
      <c r="G109" s="14"/>
      <c r="H109" s="14"/>
      <c r="I109" s="14"/>
      <c r="J109" s="14">
        <f t="shared" si="24"/>
        <v>266.66000000000003</v>
      </c>
      <c r="L109" s="19"/>
    </row>
    <row r="110" spans="1:12" x14ac:dyDescent="0.25">
      <c r="A110" s="9" t="s">
        <v>16</v>
      </c>
      <c r="B110" s="14"/>
      <c r="C110" s="14"/>
      <c r="D110" s="14"/>
      <c r="E110" s="14"/>
      <c r="F110" s="14"/>
      <c r="G110" s="14"/>
      <c r="H110" s="14"/>
      <c r="I110" s="14"/>
      <c r="J110" s="14">
        <f t="shared" si="24"/>
        <v>0</v>
      </c>
      <c r="L110" s="19"/>
    </row>
    <row r="111" spans="1:12" x14ac:dyDescent="0.25">
      <c r="A111" s="9" t="s">
        <v>17</v>
      </c>
      <c r="B111" s="14"/>
      <c r="C111" s="14"/>
      <c r="D111" s="14"/>
      <c r="E111" s="14"/>
      <c r="F111" s="14"/>
      <c r="G111" s="14"/>
      <c r="H111" s="14"/>
      <c r="I111" s="14"/>
      <c r="J111" s="14">
        <f t="shared" si="24"/>
        <v>0</v>
      </c>
      <c r="L111" s="19"/>
    </row>
    <row r="112" spans="1:12" x14ac:dyDescent="0.25">
      <c r="A112" s="9" t="s">
        <v>18</v>
      </c>
      <c r="B112" s="14">
        <f>4420.8+736.8</f>
        <v>5157.6000000000004</v>
      </c>
      <c r="C112" s="14"/>
      <c r="D112" s="14"/>
      <c r="E112" s="14"/>
      <c r="F112" s="14"/>
      <c r="G112" s="14"/>
      <c r="H112" s="14"/>
      <c r="I112" s="14"/>
      <c r="J112" s="14">
        <f t="shared" si="24"/>
        <v>5157.6000000000004</v>
      </c>
      <c r="L112" s="19"/>
    </row>
    <row r="113" spans="1:12" x14ac:dyDescent="0.25">
      <c r="A113" s="9" t="s">
        <v>19</v>
      </c>
      <c r="B113" s="14"/>
      <c r="C113" s="14"/>
      <c r="D113" s="14"/>
      <c r="E113" s="14"/>
      <c r="F113" s="14"/>
      <c r="G113" s="14"/>
      <c r="H113" s="14"/>
      <c r="I113" s="14"/>
      <c r="J113" s="14">
        <f t="shared" si="24"/>
        <v>0</v>
      </c>
      <c r="L113" s="19"/>
    </row>
    <row r="114" spans="1:12" x14ac:dyDescent="0.25">
      <c r="A114" s="9" t="s">
        <v>20</v>
      </c>
      <c r="B114" s="14">
        <v>19680</v>
      </c>
      <c r="C114" s="14"/>
      <c r="D114" s="14"/>
      <c r="E114" s="14"/>
      <c r="F114" s="14"/>
      <c r="G114" s="14"/>
      <c r="H114" s="14"/>
      <c r="I114" s="14"/>
      <c r="J114" s="14">
        <f t="shared" si="24"/>
        <v>19680</v>
      </c>
      <c r="L114" s="19"/>
    </row>
    <row r="115" spans="1:12" x14ac:dyDescent="0.25">
      <c r="A115" s="5" t="s">
        <v>21</v>
      </c>
      <c r="B115" s="14">
        <f t="shared" ref="B115:I115" si="25">SUM(B105:B114)</f>
        <v>26549.86</v>
      </c>
      <c r="C115" s="14">
        <f t="shared" si="25"/>
        <v>0</v>
      </c>
      <c r="D115" s="14">
        <f t="shared" si="25"/>
        <v>310469.17999999993</v>
      </c>
      <c r="E115" s="14">
        <f t="shared" si="25"/>
        <v>215.16</v>
      </c>
      <c r="F115" s="14">
        <f t="shared" si="25"/>
        <v>0</v>
      </c>
      <c r="G115" s="14">
        <f t="shared" si="25"/>
        <v>0</v>
      </c>
      <c r="H115" s="14">
        <f t="shared" si="25"/>
        <v>0</v>
      </c>
      <c r="I115" s="14">
        <f t="shared" si="25"/>
        <v>0</v>
      </c>
      <c r="J115" s="14">
        <f t="shared" si="24"/>
        <v>337234.1999999999</v>
      </c>
      <c r="L115" s="19"/>
    </row>
    <row r="116" spans="1:12" x14ac:dyDescent="0.25">
      <c r="A116" s="9" t="s">
        <v>22</v>
      </c>
      <c r="B116" s="14"/>
      <c r="C116" s="14"/>
      <c r="D116" s="14"/>
      <c r="E116" s="14"/>
      <c r="F116" s="14"/>
      <c r="G116" s="14"/>
      <c r="H116" s="14"/>
      <c r="I116" s="14"/>
      <c r="J116" s="14">
        <f t="shared" si="24"/>
        <v>0</v>
      </c>
      <c r="L116" s="19"/>
    </row>
    <row r="117" spans="1:12" x14ac:dyDescent="0.25">
      <c r="A117" s="9" t="s">
        <v>23</v>
      </c>
      <c r="B117" s="14"/>
      <c r="C117" s="14"/>
      <c r="D117" s="14"/>
      <c r="E117" s="14"/>
      <c r="F117" s="14"/>
      <c r="G117" s="14"/>
      <c r="H117" s="14"/>
      <c r="I117" s="14"/>
      <c r="J117" s="14">
        <f t="shared" si="24"/>
        <v>0</v>
      </c>
      <c r="L117" s="19"/>
    </row>
    <row r="118" spans="1:12" x14ac:dyDescent="0.25">
      <c r="A118" s="5" t="s">
        <v>42</v>
      </c>
      <c r="B118" s="14">
        <f t="shared" ref="B118:J118" si="26">SUM(B116:B117)</f>
        <v>0</v>
      </c>
      <c r="C118" s="14">
        <f t="shared" si="26"/>
        <v>0</v>
      </c>
      <c r="D118" s="14">
        <f t="shared" si="26"/>
        <v>0</v>
      </c>
      <c r="E118" s="14">
        <f t="shared" si="26"/>
        <v>0</v>
      </c>
      <c r="F118" s="14">
        <f t="shared" si="26"/>
        <v>0</v>
      </c>
      <c r="G118" s="14">
        <f t="shared" si="26"/>
        <v>0</v>
      </c>
      <c r="H118" s="14">
        <f t="shared" si="26"/>
        <v>0</v>
      </c>
      <c r="I118" s="14">
        <f t="shared" si="26"/>
        <v>0</v>
      </c>
      <c r="J118" s="14">
        <f t="shared" si="26"/>
        <v>0</v>
      </c>
      <c r="L118" s="19"/>
    </row>
    <row r="119" spans="1:12" x14ac:dyDescent="0.25">
      <c r="A119" s="5" t="s">
        <v>24</v>
      </c>
      <c r="B119" s="14">
        <f t="shared" ref="B119:J119" si="27">B115+B118</f>
        <v>26549.86</v>
      </c>
      <c r="C119" s="14">
        <f t="shared" si="27"/>
        <v>0</v>
      </c>
      <c r="D119" s="14">
        <f t="shared" si="27"/>
        <v>310469.17999999993</v>
      </c>
      <c r="E119" s="14">
        <f t="shared" si="27"/>
        <v>215.16</v>
      </c>
      <c r="F119" s="14">
        <f t="shared" si="27"/>
        <v>0</v>
      </c>
      <c r="G119" s="14">
        <f t="shared" si="27"/>
        <v>0</v>
      </c>
      <c r="H119" s="14">
        <f t="shared" si="27"/>
        <v>0</v>
      </c>
      <c r="I119" s="14">
        <f t="shared" si="27"/>
        <v>0</v>
      </c>
      <c r="J119" s="14">
        <f t="shared" si="27"/>
        <v>337234.1999999999</v>
      </c>
      <c r="L119" s="19"/>
    </row>
    <row r="120" spans="1:12" x14ac:dyDescent="0.25">
      <c r="A120" s="10" t="s">
        <v>38</v>
      </c>
      <c r="B120" s="14"/>
      <c r="C120" s="14"/>
      <c r="D120" s="14"/>
      <c r="E120" s="14"/>
      <c r="F120" s="14"/>
      <c r="G120" s="14"/>
      <c r="H120" s="14"/>
      <c r="I120" s="14"/>
      <c r="J120" s="14"/>
      <c r="L120" s="19"/>
    </row>
    <row r="121" spans="1:12" x14ac:dyDescent="0.25">
      <c r="A121" s="9" t="s">
        <v>11</v>
      </c>
      <c r="B121" s="14"/>
      <c r="C121" s="14"/>
      <c r="D121" s="14">
        <f>223326.77+35903.47+35903.47</f>
        <v>295133.70999999996</v>
      </c>
      <c r="E121" s="14"/>
      <c r="F121" s="14"/>
      <c r="G121" s="14"/>
      <c r="H121" s="14"/>
      <c r="I121" s="14"/>
      <c r="J121" s="14">
        <f t="shared" ref="J121:J133" si="28">SUM(B121:I121)</f>
        <v>295133.70999999996</v>
      </c>
      <c r="L121" s="19"/>
    </row>
    <row r="122" spans="1:12" x14ac:dyDescent="0.25">
      <c r="A122" s="9" t="s">
        <v>12</v>
      </c>
      <c r="B122" s="14"/>
      <c r="C122" s="14"/>
      <c r="D122" s="14">
        <f>72.06+76.47+252.64+404.25+137.65+45.88</f>
        <v>988.94999999999993</v>
      </c>
      <c r="E122" s="14">
        <v>215.16</v>
      </c>
      <c r="F122" s="14"/>
      <c r="G122" s="14"/>
      <c r="H122" s="14"/>
      <c r="I122" s="14"/>
      <c r="J122" s="14">
        <f t="shared" si="28"/>
        <v>1204.1099999999999</v>
      </c>
      <c r="L122" s="19"/>
    </row>
    <row r="123" spans="1:12" x14ac:dyDescent="0.25">
      <c r="A123" s="9" t="s">
        <v>13</v>
      </c>
      <c r="B123" s="14">
        <f>740.96+740.96</f>
        <v>1481.92</v>
      </c>
      <c r="C123" s="14"/>
      <c r="D123" s="14">
        <v>1000.42</v>
      </c>
      <c r="E123" s="14"/>
      <c r="F123" s="14"/>
      <c r="G123" s="14"/>
      <c r="H123" s="14"/>
      <c r="I123" s="14"/>
      <c r="J123" s="14">
        <f t="shared" si="28"/>
        <v>2482.34</v>
      </c>
      <c r="L123" s="19"/>
    </row>
    <row r="124" spans="1:12" x14ac:dyDescent="0.25">
      <c r="A124" s="9" t="s">
        <v>14</v>
      </c>
      <c r="B124" s="14"/>
      <c r="C124" s="14"/>
      <c r="D124" s="14">
        <f>120+120+120+888+444+3738.23</f>
        <v>5430.23</v>
      </c>
      <c r="E124" s="14"/>
      <c r="F124" s="14"/>
      <c r="G124" s="14"/>
      <c r="H124" s="14"/>
      <c r="I124" s="14"/>
      <c r="J124" s="14">
        <f t="shared" si="28"/>
        <v>5430.23</v>
      </c>
      <c r="L124" s="19"/>
    </row>
    <row r="125" spans="1:12" x14ac:dyDescent="0.25">
      <c r="A125" s="9" t="s">
        <v>15</v>
      </c>
      <c r="B125" s="14"/>
      <c r="C125" s="14"/>
      <c r="D125" s="14">
        <f>2762.54+1500</f>
        <v>4262.54</v>
      </c>
      <c r="E125" s="14"/>
      <c r="F125" s="14"/>
      <c r="G125" s="14"/>
      <c r="H125" s="14"/>
      <c r="I125" s="14"/>
      <c r="J125" s="14">
        <f t="shared" si="28"/>
        <v>4262.54</v>
      </c>
      <c r="L125" s="19"/>
    </row>
    <row r="126" spans="1:12" x14ac:dyDescent="0.25">
      <c r="A126" s="9" t="s">
        <v>16</v>
      </c>
      <c r="B126" s="14"/>
      <c r="C126" s="14"/>
      <c r="D126" s="14"/>
      <c r="E126" s="14"/>
      <c r="F126" s="14"/>
      <c r="G126" s="14"/>
      <c r="H126" s="14"/>
      <c r="I126" s="14"/>
      <c r="J126" s="14">
        <f t="shared" si="28"/>
        <v>0</v>
      </c>
      <c r="L126" s="19"/>
    </row>
    <row r="127" spans="1:12" x14ac:dyDescent="0.25">
      <c r="A127" s="9" t="s">
        <v>17</v>
      </c>
      <c r="B127" s="14"/>
      <c r="C127" s="14"/>
      <c r="D127" s="14"/>
      <c r="E127" s="14"/>
      <c r="F127" s="14"/>
      <c r="G127" s="14"/>
      <c r="H127" s="14"/>
      <c r="I127" s="14"/>
      <c r="J127" s="14">
        <f t="shared" si="28"/>
        <v>0</v>
      </c>
      <c r="L127" s="19"/>
    </row>
    <row r="128" spans="1:12" x14ac:dyDescent="0.25">
      <c r="A128" s="9" t="s">
        <v>18</v>
      </c>
      <c r="B128" s="14">
        <f>4571.23+761.87</f>
        <v>5333.0999999999995</v>
      </c>
      <c r="C128" s="14"/>
      <c r="D128" s="14"/>
      <c r="E128" s="14"/>
      <c r="F128" s="14"/>
      <c r="G128" s="14"/>
      <c r="H128" s="14"/>
      <c r="I128" s="14"/>
      <c r="J128" s="14">
        <f t="shared" si="28"/>
        <v>5333.0999999999995</v>
      </c>
      <c r="L128" s="19"/>
    </row>
    <row r="129" spans="1:12" x14ac:dyDescent="0.25">
      <c r="A129" s="9" t="s">
        <v>19</v>
      </c>
      <c r="B129" s="14"/>
      <c r="C129" s="14"/>
      <c r="D129" s="14"/>
      <c r="E129" s="14"/>
      <c r="F129" s="14"/>
      <c r="G129" s="14"/>
      <c r="H129" s="14"/>
      <c r="I129" s="14"/>
      <c r="J129" s="14">
        <f t="shared" si="28"/>
        <v>0</v>
      </c>
      <c r="L129" s="19"/>
    </row>
    <row r="130" spans="1:12" x14ac:dyDescent="0.25">
      <c r="A130" s="9" t="s">
        <v>20</v>
      </c>
      <c r="B130" s="14">
        <v>23616</v>
      </c>
      <c r="C130" s="14"/>
      <c r="D130" s="14"/>
      <c r="E130" s="14"/>
      <c r="F130" s="14"/>
      <c r="G130" s="14"/>
      <c r="H130" s="14"/>
      <c r="I130" s="14"/>
      <c r="J130" s="14">
        <f t="shared" si="28"/>
        <v>23616</v>
      </c>
      <c r="L130" s="19"/>
    </row>
    <row r="131" spans="1:12" x14ac:dyDescent="0.25">
      <c r="A131" s="5" t="s">
        <v>21</v>
      </c>
      <c r="B131" s="14">
        <f t="shared" ref="B131:I131" si="29">SUM(B121:B130)</f>
        <v>30431.02</v>
      </c>
      <c r="C131" s="14">
        <f t="shared" si="29"/>
        <v>0</v>
      </c>
      <c r="D131" s="14">
        <f t="shared" si="29"/>
        <v>306815.84999999992</v>
      </c>
      <c r="E131" s="14">
        <f t="shared" si="29"/>
        <v>215.16</v>
      </c>
      <c r="F131" s="14">
        <f t="shared" si="29"/>
        <v>0</v>
      </c>
      <c r="G131" s="14">
        <f t="shared" si="29"/>
        <v>0</v>
      </c>
      <c r="H131" s="14">
        <f t="shared" si="29"/>
        <v>0</v>
      </c>
      <c r="I131" s="14">
        <f t="shared" si="29"/>
        <v>0</v>
      </c>
      <c r="J131" s="14">
        <f t="shared" si="28"/>
        <v>337462.02999999991</v>
      </c>
      <c r="L131" s="19"/>
    </row>
    <row r="132" spans="1:12" x14ac:dyDescent="0.25">
      <c r="A132" s="9" t="s">
        <v>22</v>
      </c>
      <c r="B132" s="14"/>
      <c r="C132" s="14"/>
      <c r="D132" s="14"/>
      <c r="E132" s="14"/>
      <c r="F132" s="14"/>
      <c r="G132" s="14"/>
      <c r="H132" s="14"/>
      <c r="I132" s="14"/>
      <c r="J132" s="14">
        <f t="shared" si="28"/>
        <v>0</v>
      </c>
      <c r="L132" s="19"/>
    </row>
    <row r="133" spans="1:12" x14ac:dyDescent="0.25">
      <c r="A133" s="9" t="s">
        <v>23</v>
      </c>
      <c r="B133" s="14"/>
      <c r="C133" s="14"/>
      <c r="D133" s="14"/>
      <c r="E133" s="14"/>
      <c r="F133" s="14"/>
      <c r="G133" s="14"/>
      <c r="H133" s="14"/>
      <c r="I133" s="14"/>
      <c r="J133" s="14">
        <f t="shared" si="28"/>
        <v>0</v>
      </c>
      <c r="L133" s="19"/>
    </row>
    <row r="134" spans="1:12" x14ac:dyDescent="0.25">
      <c r="A134" s="5" t="s">
        <v>42</v>
      </c>
      <c r="B134" s="14">
        <f t="shared" ref="B134:J134" si="30">SUM(B132:B133)</f>
        <v>0</v>
      </c>
      <c r="C134" s="14">
        <f t="shared" si="30"/>
        <v>0</v>
      </c>
      <c r="D134" s="14">
        <f t="shared" si="30"/>
        <v>0</v>
      </c>
      <c r="E134" s="14">
        <f t="shared" si="30"/>
        <v>0</v>
      </c>
      <c r="F134" s="14">
        <f t="shared" si="30"/>
        <v>0</v>
      </c>
      <c r="G134" s="14">
        <f t="shared" si="30"/>
        <v>0</v>
      </c>
      <c r="H134" s="14">
        <f t="shared" si="30"/>
        <v>0</v>
      </c>
      <c r="I134" s="14">
        <f t="shared" si="30"/>
        <v>0</v>
      </c>
      <c r="J134" s="14">
        <f t="shared" si="30"/>
        <v>0</v>
      </c>
      <c r="L134" s="19"/>
    </row>
    <row r="135" spans="1:12" x14ac:dyDescent="0.25">
      <c r="A135" s="5" t="s">
        <v>24</v>
      </c>
      <c r="B135" s="14">
        <f t="shared" ref="B135:J135" si="31">B131+B134</f>
        <v>30431.02</v>
      </c>
      <c r="C135" s="14">
        <f t="shared" si="31"/>
        <v>0</v>
      </c>
      <c r="D135" s="14">
        <f t="shared" si="31"/>
        <v>306815.84999999992</v>
      </c>
      <c r="E135" s="14">
        <f t="shared" si="31"/>
        <v>215.16</v>
      </c>
      <c r="F135" s="14">
        <f t="shared" si="31"/>
        <v>0</v>
      </c>
      <c r="G135" s="14">
        <f t="shared" si="31"/>
        <v>0</v>
      </c>
      <c r="H135" s="14">
        <f t="shared" si="31"/>
        <v>0</v>
      </c>
      <c r="I135" s="14">
        <f t="shared" si="31"/>
        <v>0</v>
      </c>
      <c r="J135" s="14">
        <f t="shared" si="31"/>
        <v>337462.02999999991</v>
      </c>
      <c r="L135" s="19"/>
    </row>
    <row r="136" spans="1:12" x14ac:dyDescent="0.25">
      <c r="A136" s="10" t="s">
        <v>39</v>
      </c>
      <c r="B136" s="14"/>
      <c r="C136" s="14"/>
      <c r="D136" s="14"/>
      <c r="E136" s="14"/>
      <c r="F136" s="14"/>
      <c r="G136" s="14"/>
      <c r="H136" s="14"/>
      <c r="I136" s="14"/>
      <c r="J136" s="14"/>
      <c r="L136" s="19"/>
    </row>
    <row r="137" spans="1:12" x14ac:dyDescent="0.25">
      <c r="A137" s="9" t="s">
        <v>11</v>
      </c>
      <c r="B137" s="14"/>
      <c r="C137" s="14"/>
      <c r="D137" s="14">
        <f>235905.95+25459.34+25459.34</f>
        <v>286824.63</v>
      </c>
      <c r="E137" s="14"/>
      <c r="F137" s="14"/>
      <c r="G137" s="14"/>
      <c r="H137" s="14"/>
      <c r="I137" s="14"/>
      <c r="J137" s="14">
        <f t="shared" ref="J137:J149" si="32">SUM(B137:I137)</f>
        <v>286824.63</v>
      </c>
      <c r="L137" s="19"/>
    </row>
    <row r="138" spans="1:12" x14ac:dyDescent="0.25">
      <c r="A138" s="9" t="s">
        <v>12</v>
      </c>
      <c r="B138" s="14"/>
      <c r="C138" s="14"/>
      <c r="D138" s="14">
        <f>72.06+440+76.47+252.64+137.65+615+45.88</f>
        <v>1639.7</v>
      </c>
      <c r="E138" s="14">
        <v>215.16</v>
      </c>
      <c r="F138" s="14"/>
      <c r="G138" s="14"/>
      <c r="H138" s="14"/>
      <c r="I138" s="14"/>
      <c r="J138" s="14">
        <f t="shared" si="32"/>
        <v>1854.8600000000001</v>
      </c>
      <c r="L138" s="19"/>
    </row>
    <row r="139" spans="1:12" x14ac:dyDescent="0.25">
      <c r="A139" s="9" t="s">
        <v>13</v>
      </c>
      <c r="B139" s="14">
        <f>740.96</f>
        <v>740.96</v>
      </c>
      <c r="C139" s="14"/>
      <c r="D139" s="14">
        <v>1000.42</v>
      </c>
      <c r="E139" s="14"/>
      <c r="F139" s="14"/>
      <c r="G139" s="14"/>
      <c r="H139" s="14"/>
      <c r="I139" s="14"/>
      <c r="J139" s="14">
        <f t="shared" si="32"/>
        <v>1741.38</v>
      </c>
      <c r="L139" s="19"/>
    </row>
    <row r="140" spans="1:12" x14ac:dyDescent="0.25">
      <c r="A140" s="9" t="s">
        <v>14</v>
      </c>
      <c r="B140" s="14"/>
      <c r="C140" s="14"/>
      <c r="D140" s="14">
        <f>277.54+888+444+3738.23+446</f>
        <v>5793.77</v>
      </c>
      <c r="E140" s="14"/>
      <c r="F140" s="14"/>
      <c r="G140" s="14"/>
      <c r="H140" s="14"/>
      <c r="I140" s="14"/>
      <c r="J140" s="14">
        <f t="shared" si="32"/>
        <v>5793.77</v>
      </c>
      <c r="L140" s="19"/>
    </row>
    <row r="141" spans="1:12" x14ac:dyDescent="0.25">
      <c r="A141" s="9" t="s">
        <v>15</v>
      </c>
      <c r="B141" s="14"/>
      <c r="C141" s="14"/>
      <c r="D141" s="14">
        <v>291</v>
      </c>
      <c r="E141" s="14"/>
      <c r="F141" s="14"/>
      <c r="G141" s="14"/>
      <c r="H141" s="14"/>
      <c r="I141" s="14"/>
      <c r="J141" s="14">
        <f t="shared" si="32"/>
        <v>291</v>
      </c>
      <c r="L141" s="19"/>
    </row>
    <row r="142" spans="1:12" x14ac:dyDescent="0.25">
      <c r="A142" s="9" t="s">
        <v>16</v>
      </c>
      <c r="B142" s="14"/>
      <c r="C142" s="14"/>
      <c r="D142" s="14"/>
      <c r="E142" s="14"/>
      <c r="F142" s="14"/>
      <c r="G142" s="14"/>
      <c r="H142" s="14"/>
      <c r="I142" s="14"/>
      <c r="J142" s="14">
        <f t="shared" si="32"/>
        <v>0</v>
      </c>
      <c r="L142" s="19"/>
    </row>
    <row r="143" spans="1:12" x14ac:dyDescent="0.25">
      <c r="A143" s="9" t="s">
        <v>17</v>
      </c>
      <c r="B143" s="14"/>
      <c r="C143" s="14"/>
      <c r="D143" s="14"/>
      <c r="E143" s="14"/>
      <c r="F143" s="14"/>
      <c r="G143" s="14"/>
      <c r="H143" s="14"/>
      <c r="I143" s="14"/>
      <c r="J143" s="14">
        <f t="shared" si="32"/>
        <v>0</v>
      </c>
      <c r="L143" s="19"/>
    </row>
    <row r="144" spans="1:12" x14ac:dyDescent="0.25">
      <c r="A144" s="9" t="s">
        <v>18</v>
      </c>
      <c r="B144" s="14">
        <f>4727.8+787.97</f>
        <v>5515.77</v>
      </c>
      <c r="C144" s="14"/>
      <c r="D144" s="14"/>
      <c r="E144" s="14"/>
      <c r="F144" s="14"/>
      <c r="G144" s="14"/>
      <c r="H144" s="14"/>
      <c r="I144" s="14"/>
      <c r="J144" s="14">
        <f t="shared" si="32"/>
        <v>5515.77</v>
      </c>
      <c r="L144" s="19"/>
    </row>
    <row r="145" spans="1:12" x14ac:dyDescent="0.25">
      <c r="A145" s="9" t="s">
        <v>19</v>
      </c>
      <c r="B145" s="14"/>
      <c r="C145" s="14"/>
      <c r="D145" s="14"/>
      <c r="E145" s="14"/>
      <c r="F145" s="14"/>
      <c r="G145" s="14"/>
      <c r="H145" s="14"/>
      <c r="I145" s="14"/>
      <c r="J145" s="14">
        <f t="shared" si="32"/>
        <v>0</v>
      </c>
      <c r="L145" s="19"/>
    </row>
    <row r="146" spans="1:12" x14ac:dyDescent="0.25">
      <c r="A146" s="9" t="s">
        <v>20</v>
      </c>
      <c r="B146" s="14">
        <v>22140</v>
      </c>
      <c r="C146" s="14"/>
      <c r="D146" s="14"/>
      <c r="E146" s="14"/>
      <c r="F146" s="14"/>
      <c r="G146" s="14"/>
      <c r="H146" s="14"/>
      <c r="I146" s="14"/>
      <c r="J146" s="14">
        <f t="shared" si="32"/>
        <v>22140</v>
      </c>
      <c r="L146" s="19"/>
    </row>
    <row r="147" spans="1:12" x14ac:dyDescent="0.25">
      <c r="A147" s="5" t="s">
        <v>21</v>
      </c>
      <c r="B147" s="14">
        <f t="shared" ref="B147:I147" si="33">SUM(B137:B146)</f>
        <v>28396.73</v>
      </c>
      <c r="C147" s="14">
        <f t="shared" si="33"/>
        <v>0</v>
      </c>
      <c r="D147" s="14">
        <f t="shared" si="33"/>
        <v>295549.52</v>
      </c>
      <c r="E147" s="14">
        <f t="shared" si="33"/>
        <v>215.16</v>
      </c>
      <c r="F147" s="14">
        <f t="shared" si="33"/>
        <v>0</v>
      </c>
      <c r="G147" s="14">
        <f t="shared" si="33"/>
        <v>0</v>
      </c>
      <c r="H147" s="14">
        <f t="shared" si="33"/>
        <v>0</v>
      </c>
      <c r="I147" s="14">
        <f t="shared" si="33"/>
        <v>0</v>
      </c>
      <c r="J147" s="14">
        <f t="shared" si="32"/>
        <v>324161.40999999997</v>
      </c>
      <c r="L147" s="19"/>
    </row>
    <row r="148" spans="1:12" x14ac:dyDescent="0.25">
      <c r="A148" s="9" t="s">
        <v>22</v>
      </c>
      <c r="B148" s="14"/>
      <c r="C148" s="14"/>
      <c r="D148" s="14"/>
      <c r="E148" s="14"/>
      <c r="F148" s="14"/>
      <c r="G148" s="14"/>
      <c r="H148" s="14"/>
      <c r="I148" s="14"/>
      <c r="J148" s="14">
        <f t="shared" si="32"/>
        <v>0</v>
      </c>
      <c r="L148" s="19"/>
    </row>
    <row r="149" spans="1:12" x14ac:dyDescent="0.25">
      <c r="A149" s="9" t="s">
        <v>23</v>
      </c>
      <c r="B149" s="14"/>
      <c r="C149" s="14"/>
      <c r="D149" s="14"/>
      <c r="E149" s="14"/>
      <c r="F149" s="14"/>
      <c r="G149" s="14"/>
      <c r="H149" s="14"/>
      <c r="I149" s="14"/>
      <c r="J149" s="14">
        <f t="shared" si="32"/>
        <v>0</v>
      </c>
      <c r="L149" s="19"/>
    </row>
    <row r="150" spans="1:12" x14ac:dyDescent="0.25">
      <c r="A150" s="5" t="s">
        <v>42</v>
      </c>
      <c r="B150" s="14">
        <f t="shared" ref="B150:J150" si="34">SUM(B148:B149)</f>
        <v>0</v>
      </c>
      <c r="C150" s="14">
        <f t="shared" si="34"/>
        <v>0</v>
      </c>
      <c r="D150" s="14">
        <f t="shared" si="34"/>
        <v>0</v>
      </c>
      <c r="E150" s="14">
        <f t="shared" si="34"/>
        <v>0</v>
      </c>
      <c r="F150" s="14">
        <f t="shared" si="34"/>
        <v>0</v>
      </c>
      <c r="G150" s="14">
        <f t="shared" si="34"/>
        <v>0</v>
      </c>
      <c r="H150" s="14">
        <f t="shared" si="34"/>
        <v>0</v>
      </c>
      <c r="I150" s="14">
        <f t="shared" si="34"/>
        <v>0</v>
      </c>
      <c r="J150" s="14">
        <f t="shared" si="34"/>
        <v>0</v>
      </c>
      <c r="L150" s="19"/>
    </row>
    <row r="151" spans="1:12" x14ac:dyDescent="0.25">
      <c r="A151" s="5" t="s">
        <v>24</v>
      </c>
      <c r="B151" s="14">
        <f t="shared" ref="B151:J151" si="35">B147+B150</f>
        <v>28396.73</v>
      </c>
      <c r="C151" s="14">
        <f t="shared" si="35"/>
        <v>0</v>
      </c>
      <c r="D151" s="14">
        <f t="shared" si="35"/>
        <v>295549.52</v>
      </c>
      <c r="E151" s="14">
        <f t="shared" si="35"/>
        <v>215.16</v>
      </c>
      <c r="F151" s="14">
        <f t="shared" si="35"/>
        <v>0</v>
      </c>
      <c r="G151" s="14">
        <f t="shared" si="35"/>
        <v>0</v>
      </c>
      <c r="H151" s="14">
        <f t="shared" si="35"/>
        <v>0</v>
      </c>
      <c r="I151" s="14">
        <f t="shared" si="35"/>
        <v>0</v>
      </c>
      <c r="J151" s="14">
        <f t="shared" si="35"/>
        <v>324161.40999999997</v>
      </c>
      <c r="L151" s="19"/>
    </row>
    <row r="152" spans="1:12" x14ac:dyDescent="0.25">
      <c r="A152" s="10" t="s">
        <v>40</v>
      </c>
      <c r="B152" s="14"/>
      <c r="C152" s="14"/>
      <c r="D152" s="14"/>
      <c r="E152" s="14"/>
      <c r="F152" s="14"/>
      <c r="G152" s="14"/>
      <c r="H152" s="14"/>
      <c r="I152" s="14"/>
      <c r="J152" s="14"/>
      <c r="L152" s="19"/>
    </row>
    <row r="153" spans="1:12" x14ac:dyDescent="0.25">
      <c r="A153" s="9" t="s">
        <v>11</v>
      </c>
      <c r="B153" s="14"/>
      <c r="C153" s="14"/>
      <c r="D153" s="14">
        <f>172835.49+24001.31+24001.31</f>
        <v>220838.11</v>
      </c>
      <c r="E153" s="14"/>
      <c r="F153" s="14"/>
      <c r="G153" s="14"/>
      <c r="H153" s="14"/>
      <c r="I153" s="14"/>
      <c r="J153" s="14">
        <f t="shared" ref="J153:J165" si="36">SUM(B153:I153)</f>
        <v>220838.11</v>
      </c>
      <c r="L153" s="19"/>
    </row>
    <row r="154" spans="1:12" x14ac:dyDescent="0.25">
      <c r="A154" s="9" t="s">
        <v>12</v>
      </c>
      <c r="B154" s="14"/>
      <c r="C154" s="14"/>
      <c r="D154" s="14">
        <f>72.02+399+76.47+252.64+137.65+198+98+45.88</f>
        <v>1279.6600000000001</v>
      </c>
      <c r="E154" s="14">
        <v>215.16</v>
      </c>
      <c r="F154" s="14"/>
      <c r="G154" s="14"/>
      <c r="H154" s="14"/>
      <c r="I154" s="14"/>
      <c r="J154" s="14">
        <f t="shared" si="36"/>
        <v>1494.8200000000002</v>
      </c>
      <c r="L154" s="19"/>
    </row>
    <row r="155" spans="1:12" x14ac:dyDescent="0.25">
      <c r="A155" s="9" t="s">
        <v>13</v>
      </c>
      <c r="B155" s="14">
        <f>740.96+124.52+37156.5</f>
        <v>38021.980000000003</v>
      </c>
      <c r="C155" s="14"/>
      <c r="D155" s="14">
        <v>1000.42</v>
      </c>
      <c r="E155" s="14"/>
      <c r="F155" s="14"/>
      <c r="G155" s="14"/>
      <c r="H155" s="14"/>
      <c r="I155" s="14"/>
      <c r="J155" s="14">
        <f t="shared" si="36"/>
        <v>39022.400000000001</v>
      </c>
      <c r="L155" s="19"/>
    </row>
    <row r="156" spans="1:12" x14ac:dyDescent="0.25">
      <c r="A156" s="9" t="s">
        <v>14</v>
      </c>
      <c r="B156" s="14">
        <f>996.77</f>
        <v>996.77</v>
      </c>
      <c r="C156" s="14"/>
      <c r="D156" s="14">
        <f>138.77+297.66+888+444+10651.13</f>
        <v>12419.56</v>
      </c>
      <c r="E156" s="14"/>
      <c r="F156" s="14"/>
      <c r="G156" s="14"/>
      <c r="H156" s="14"/>
      <c r="I156" s="14"/>
      <c r="J156" s="14">
        <f t="shared" si="36"/>
        <v>13416.33</v>
      </c>
      <c r="L156" s="19"/>
    </row>
    <row r="157" spans="1:12" x14ac:dyDescent="0.25">
      <c r="A157" s="9" t="s">
        <v>15</v>
      </c>
      <c r="B157" s="14"/>
      <c r="C157" s="14"/>
      <c r="D157" s="14">
        <f>300+4344.66+266.66</f>
        <v>4911.32</v>
      </c>
      <c r="E157" s="14"/>
      <c r="F157" s="14"/>
      <c r="G157" s="14"/>
      <c r="H157" s="14"/>
      <c r="I157" s="14"/>
      <c r="J157" s="14">
        <f t="shared" si="36"/>
        <v>4911.32</v>
      </c>
      <c r="L157" s="19"/>
    </row>
    <row r="158" spans="1:12" x14ac:dyDescent="0.25">
      <c r="A158" s="9" t="s">
        <v>16</v>
      </c>
      <c r="B158" s="14"/>
      <c r="C158" s="14"/>
      <c r="D158" s="14"/>
      <c r="E158" s="14"/>
      <c r="F158" s="14"/>
      <c r="G158" s="14"/>
      <c r="H158" s="14"/>
      <c r="I158" s="14"/>
      <c r="J158" s="14">
        <f t="shared" si="36"/>
        <v>0</v>
      </c>
      <c r="L158" s="19"/>
    </row>
    <row r="159" spans="1:12" x14ac:dyDescent="0.25">
      <c r="A159" s="9" t="s">
        <v>17</v>
      </c>
      <c r="B159" s="14"/>
      <c r="C159" s="14"/>
      <c r="D159" s="14"/>
      <c r="E159" s="14"/>
      <c r="F159" s="14"/>
      <c r="G159" s="14"/>
      <c r="H159" s="14"/>
      <c r="I159" s="14"/>
      <c r="J159" s="14">
        <f t="shared" si="36"/>
        <v>0</v>
      </c>
      <c r="L159" s="19"/>
    </row>
    <row r="160" spans="1:12" x14ac:dyDescent="0.25">
      <c r="A160" s="9" t="s">
        <v>18</v>
      </c>
      <c r="B160" s="14">
        <f>1470.53+245.09</f>
        <v>1715.62</v>
      </c>
      <c r="C160" s="14"/>
      <c r="D160" s="14"/>
      <c r="E160" s="14"/>
      <c r="F160" s="14"/>
      <c r="G160" s="14"/>
      <c r="H160" s="14"/>
      <c r="I160" s="14"/>
      <c r="J160" s="14">
        <f t="shared" si="36"/>
        <v>1715.62</v>
      </c>
      <c r="L160" s="19"/>
    </row>
    <row r="161" spans="1:12" x14ac:dyDescent="0.25">
      <c r="A161" s="9" t="s">
        <v>19</v>
      </c>
      <c r="B161" s="14"/>
      <c r="C161" s="14"/>
      <c r="D161" s="14"/>
      <c r="E161" s="14"/>
      <c r="F161" s="14"/>
      <c r="G161" s="14"/>
      <c r="H161" s="14"/>
      <c r="I161" s="14"/>
      <c r="J161" s="14">
        <f t="shared" si="36"/>
        <v>0</v>
      </c>
      <c r="L161" s="19"/>
    </row>
    <row r="162" spans="1:12" x14ac:dyDescent="0.25">
      <c r="A162" s="9" t="s">
        <v>20</v>
      </c>
      <c r="B162" s="14">
        <v>15744</v>
      </c>
      <c r="C162" s="14"/>
      <c r="D162" s="14"/>
      <c r="E162" s="14"/>
      <c r="F162" s="14"/>
      <c r="G162" s="14"/>
      <c r="H162" s="14"/>
      <c r="I162" s="14"/>
      <c r="J162" s="14">
        <f t="shared" si="36"/>
        <v>15744</v>
      </c>
      <c r="L162" s="19"/>
    </row>
    <row r="163" spans="1:12" x14ac:dyDescent="0.25">
      <c r="A163" s="5" t="s">
        <v>21</v>
      </c>
      <c r="B163" s="14">
        <f t="shared" ref="B163:I163" si="37">SUM(B153:B162)</f>
        <v>56478.37</v>
      </c>
      <c r="C163" s="14">
        <f t="shared" si="37"/>
        <v>0</v>
      </c>
      <c r="D163" s="14">
        <f t="shared" si="37"/>
        <v>240449.07</v>
      </c>
      <c r="E163" s="14">
        <f t="shared" si="37"/>
        <v>215.16</v>
      </c>
      <c r="F163" s="14">
        <f t="shared" si="37"/>
        <v>0</v>
      </c>
      <c r="G163" s="14">
        <f t="shared" si="37"/>
        <v>0</v>
      </c>
      <c r="H163" s="14">
        <f t="shared" si="37"/>
        <v>0</v>
      </c>
      <c r="I163" s="14">
        <f t="shared" si="37"/>
        <v>0</v>
      </c>
      <c r="J163" s="14">
        <f t="shared" si="36"/>
        <v>297142.59999999998</v>
      </c>
      <c r="L163" s="19"/>
    </row>
    <row r="164" spans="1:12" x14ac:dyDescent="0.25">
      <c r="A164" s="9" t="s">
        <v>22</v>
      </c>
      <c r="B164" s="14"/>
      <c r="C164" s="14"/>
      <c r="D164" s="14"/>
      <c r="E164" s="14"/>
      <c r="F164" s="14"/>
      <c r="G164" s="14"/>
      <c r="H164" s="14"/>
      <c r="I164" s="14"/>
      <c r="J164" s="14">
        <f t="shared" si="36"/>
        <v>0</v>
      </c>
      <c r="L164" s="19"/>
    </row>
    <row r="165" spans="1:12" x14ac:dyDescent="0.25">
      <c r="A165" s="9" t="s">
        <v>23</v>
      </c>
      <c r="B165" s="14"/>
      <c r="C165" s="14"/>
      <c r="D165" s="14"/>
      <c r="E165" s="14"/>
      <c r="F165" s="14"/>
      <c r="G165" s="14"/>
      <c r="H165" s="14"/>
      <c r="I165" s="14"/>
      <c r="J165" s="14">
        <f t="shared" si="36"/>
        <v>0</v>
      </c>
      <c r="L165" s="19"/>
    </row>
    <row r="166" spans="1:12" x14ac:dyDescent="0.25">
      <c r="A166" s="5" t="s">
        <v>42</v>
      </c>
      <c r="B166" s="14">
        <f t="shared" ref="B166:J166" si="38">SUM(B164:B165)</f>
        <v>0</v>
      </c>
      <c r="C166" s="14">
        <f t="shared" si="38"/>
        <v>0</v>
      </c>
      <c r="D166" s="14">
        <f t="shared" si="38"/>
        <v>0</v>
      </c>
      <c r="E166" s="14">
        <f t="shared" si="38"/>
        <v>0</v>
      </c>
      <c r="F166" s="14">
        <f t="shared" si="38"/>
        <v>0</v>
      </c>
      <c r="G166" s="14">
        <f t="shared" si="38"/>
        <v>0</v>
      </c>
      <c r="H166" s="14">
        <f t="shared" si="38"/>
        <v>0</v>
      </c>
      <c r="I166" s="14">
        <f t="shared" si="38"/>
        <v>0</v>
      </c>
      <c r="J166" s="14">
        <f t="shared" si="38"/>
        <v>0</v>
      </c>
      <c r="L166" s="19"/>
    </row>
    <row r="167" spans="1:12" x14ac:dyDescent="0.25">
      <c r="A167" s="5" t="s">
        <v>24</v>
      </c>
      <c r="B167" s="14">
        <f t="shared" ref="B167:J167" si="39">B163+B166</f>
        <v>56478.37</v>
      </c>
      <c r="C167" s="14">
        <f t="shared" si="39"/>
        <v>0</v>
      </c>
      <c r="D167" s="14">
        <f t="shared" si="39"/>
        <v>240449.07</v>
      </c>
      <c r="E167" s="14">
        <f t="shared" si="39"/>
        <v>215.16</v>
      </c>
      <c r="F167" s="14">
        <f t="shared" si="39"/>
        <v>0</v>
      </c>
      <c r="G167" s="14">
        <f t="shared" si="39"/>
        <v>0</v>
      </c>
      <c r="H167" s="14">
        <f t="shared" si="39"/>
        <v>0</v>
      </c>
      <c r="I167" s="14">
        <f t="shared" si="39"/>
        <v>0</v>
      </c>
      <c r="J167" s="14">
        <f t="shared" si="39"/>
        <v>297142.59999999998</v>
      </c>
      <c r="L167" s="19"/>
    </row>
    <row r="168" spans="1:12" x14ac:dyDescent="0.25">
      <c r="A168" s="10" t="s">
        <v>41</v>
      </c>
      <c r="B168" s="14"/>
      <c r="C168" s="14"/>
      <c r="D168" s="14"/>
      <c r="E168" s="14"/>
      <c r="F168" s="14"/>
      <c r="G168" s="14"/>
      <c r="H168" s="14"/>
      <c r="I168" s="14"/>
      <c r="J168" s="14"/>
      <c r="L168" s="19"/>
    </row>
    <row r="169" spans="1:12" x14ac:dyDescent="0.25">
      <c r="A169" s="9" t="s">
        <v>11</v>
      </c>
      <c r="B169" s="14"/>
      <c r="C169" s="14"/>
      <c r="D169" s="14">
        <f>46650.06+5237.46+5237.46</f>
        <v>57124.979999999996</v>
      </c>
      <c r="E169" s="14"/>
      <c r="F169" s="14"/>
      <c r="G169" s="14"/>
      <c r="H169" s="14"/>
      <c r="I169" s="14"/>
      <c r="J169" s="14">
        <f t="shared" ref="J169:J181" si="40">SUM(B169:I169)</f>
        <v>57124.979999999996</v>
      </c>
      <c r="L169" s="19"/>
    </row>
    <row r="170" spans="1:12" x14ac:dyDescent="0.25">
      <c r="A170" s="9" t="s">
        <v>12</v>
      </c>
      <c r="B170" s="14"/>
      <c r="C170" s="14"/>
      <c r="D170" s="14">
        <v>131.75</v>
      </c>
      <c r="E170" s="14">
        <v>215.16</v>
      </c>
      <c r="F170" s="14"/>
      <c r="G170" s="14"/>
      <c r="H170" s="14"/>
      <c r="I170" s="14"/>
      <c r="J170" s="14">
        <f t="shared" si="40"/>
        <v>346.90999999999997</v>
      </c>
      <c r="L170" s="19"/>
    </row>
    <row r="171" spans="1:12" x14ac:dyDescent="0.25">
      <c r="A171" s="9" t="s">
        <v>13</v>
      </c>
      <c r="B171" s="14"/>
      <c r="C171" s="14"/>
      <c r="D171" s="14"/>
      <c r="E171" s="14"/>
      <c r="F171" s="14"/>
      <c r="G171" s="14"/>
      <c r="H171" s="14"/>
      <c r="I171" s="14"/>
      <c r="J171" s="14">
        <f t="shared" si="40"/>
        <v>0</v>
      </c>
      <c r="L171" s="19"/>
    </row>
    <row r="172" spans="1:12" x14ac:dyDescent="0.25">
      <c r="A172" s="9" t="s">
        <v>14</v>
      </c>
      <c r="B172" s="14">
        <v>996.77</v>
      </c>
      <c r="C172" s="14"/>
      <c r="D172" s="14"/>
      <c r="E172" s="14"/>
      <c r="F172" s="14"/>
      <c r="G172" s="14"/>
      <c r="H172" s="14"/>
      <c r="I172" s="14"/>
      <c r="J172" s="14">
        <f t="shared" si="40"/>
        <v>996.77</v>
      </c>
      <c r="L172" s="19"/>
    </row>
    <row r="173" spans="1:12" x14ac:dyDescent="0.25">
      <c r="A173" s="9" t="s">
        <v>15</v>
      </c>
      <c r="B173" s="14"/>
      <c r="C173" s="14"/>
      <c r="D173" s="14"/>
      <c r="E173" s="14"/>
      <c r="F173" s="14"/>
      <c r="G173" s="14"/>
      <c r="H173" s="14"/>
      <c r="I173" s="14"/>
      <c r="J173" s="14">
        <f t="shared" si="40"/>
        <v>0</v>
      </c>
      <c r="L173" s="19"/>
    </row>
    <row r="174" spans="1:12" x14ac:dyDescent="0.25">
      <c r="A174" s="9" t="s">
        <v>16</v>
      </c>
      <c r="B174" s="14"/>
      <c r="C174" s="14"/>
      <c r="D174" s="14"/>
      <c r="E174" s="14"/>
      <c r="F174" s="14"/>
      <c r="G174" s="14"/>
      <c r="H174" s="14"/>
      <c r="I174" s="14"/>
      <c r="J174" s="14">
        <f t="shared" si="40"/>
        <v>0</v>
      </c>
      <c r="L174" s="19"/>
    </row>
    <row r="175" spans="1:12" x14ac:dyDescent="0.25">
      <c r="A175" s="9" t="s">
        <v>17</v>
      </c>
      <c r="B175" s="14"/>
      <c r="C175" s="14"/>
      <c r="D175" s="14"/>
      <c r="E175" s="14"/>
      <c r="F175" s="14"/>
      <c r="G175" s="14"/>
      <c r="H175" s="14"/>
      <c r="I175" s="14"/>
      <c r="J175" s="14">
        <f t="shared" si="40"/>
        <v>0</v>
      </c>
      <c r="L175" s="19"/>
    </row>
    <row r="176" spans="1:12" x14ac:dyDescent="0.25">
      <c r="A176" s="9" t="s">
        <v>18</v>
      </c>
      <c r="B176" s="14">
        <f>67.54+11.26</f>
        <v>78.800000000000011</v>
      </c>
      <c r="C176" s="14"/>
      <c r="D176" s="14"/>
      <c r="E176" s="14"/>
      <c r="F176" s="14"/>
      <c r="G176" s="14"/>
      <c r="H176" s="14"/>
      <c r="I176" s="14"/>
      <c r="J176" s="14">
        <f t="shared" si="40"/>
        <v>78.800000000000011</v>
      </c>
      <c r="L176" s="19"/>
    </row>
    <row r="177" spans="1:12" x14ac:dyDescent="0.25">
      <c r="A177" s="9" t="s">
        <v>19</v>
      </c>
      <c r="B177" s="14"/>
      <c r="C177" s="14"/>
      <c r="D177" s="14"/>
      <c r="E177" s="14"/>
      <c r="F177" s="14"/>
      <c r="G177" s="14"/>
      <c r="H177" s="14"/>
      <c r="I177" s="14"/>
      <c r="J177" s="14">
        <f t="shared" si="40"/>
        <v>0</v>
      </c>
      <c r="L177" s="19"/>
    </row>
    <row r="178" spans="1:12" x14ac:dyDescent="0.25">
      <c r="A178" s="9" t="s">
        <v>20</v>
      </c>
      <c r="B178" s="14"/>
      <c r="C178" s="14"/>
      <c r="D178" s="14"/>
      <c r="E178" s="14"/>
      <c r="F178" s="14"/>
      <c r="G178" s="14"/>
      <c r="H178" s="14"/>
      <c r="I178" s="14"/>
      <c r="J178" s="14">
        <f t="shared" si="40"/>
        <v>0</v>
      </c>
      <c r="L178" s="19"/>
    </row>
    <row r="179" spans="1:12" x14ac:dyDescent="0.25">
      <c r="A179" s="5" t="s">
        <v>21</v>
      </c>
      <c r="B179" s="14">
        <f t="shared" ref="B179:I179" si="41">SUM(B169:B178)</f>
        <v>1075.57</v>
      </c>
      <c r="C179" s="14">
        <f t="shared" si="41"/>
        <v>0</v>
      </c>
      <c r="D179" s="14">
        <f t="shared" si="41"/>
        <v>57256.729999999996</v>
      </c>
      <c r="E179" s="14">
        <f t="shared" si="41"/>
        <v>215.16</v>
      </c>
      <c r="F179" s="14">
        <f t="shared" si="41"/>
        <v>0</v>
      </c>
      <c r="G179" s="14">
        <f t="shared" si="41"/>
        <v>0</v>
      </c>
      <c r="H179" s="14">
        <f t="shared" si="41"/>
        <v>0</v>
      </c>
      <c r="I179" s="14">
        <f t="shared" si="41"/>
        <v>0</v>
      </c>
      <c r="J179" s="14">
        <f t="shared" si="40"/>
        <v>58547.46</v>
      </c>
      <c r="L179" s="19"/>
    </row>
    <row r="180" spans="1:12" x14ac:dyDescent="0.25">
      <c r="A180" s="9" t="s">
        <v>22</v>
      </c>
      <c r="B180" s="14"/>
      <c r="C180" s="14"/>
      <c r="D180" s="14"/>
      <c r="E180" s="14"/>
      <c r="F180" s="14"/>
      <c r="G180" s="14"/>
      <c r="H180" s="14"/>
      <c r="I180" s="14"/>
      <c r="J180" s="14">
        <f t="shared" si="40"/>
        <v>0</v>
      </c>
      <c r="L180" s="19"/>
    </row>
    <row r="181" spans="1:12" x14ac:dyDescent="0.25">
      <c r="A181" s="9" t="s">
        <v>23</v>
      </c>
      <c r="B181" s="14"/>
      <c r="C181" s="14"/>
      <c r="D181" s="14"/>
      <c r="E181" s="14"/>
      <c r="F181" s="14"/>
      <c r="G181" s="14"/>
      <c r="H181" s="14"/>
      <c r="I181" s="14"/>
      <c r="J181" s="14">
        <f t="shared" si="40"/>
        <v>0</v>
      </c>
      <c r="L181" s="19"/>
    </row>
    <row r="182" spans="1:12" x14ac:dyDescent="0.25">
      <c r="A182" s="5" t="s">
        <v>42</v>
      </c>
      <c r="B182" s="14">
        <f t="shared" ref="B182:J182" si="42">SUM(B180:B181)</f>
        <v>0</v>
      </c>
      <c r="C182" s="14">
        <f t="shared" si="42"/>
        <v>0</v>
      </c>
      <c r="D182" s="14">
        <f t="shared" si="42"/>
        <v>0</v>
      </c>
      <c r="E182" s="14">
        <f t="shared" si="42"/>
        <v>0</v>
      </c>
      <c r="F182" s="14">
        <f t="shared" si="42"/>
        <v>0</v>
      </c>
      <c r="G182" s="14">
        <f t="shared" si="42"/>
        <v>0</v>
      </c>
      <c r="H182" s="14">
        <f t="shared" si="42"/>
        <v>0</v>
      </c>
      <c r="I182" s="14">
        <f t="shared" si="42"/>
        <v>0</v>
      </c>
      <c r="J182" s="14">
        <f t="shared" si="42"/>
        <v>0</v>
      </c>
      <c r="L182" s="19"/>
    </row>
    <row r="183" spans="1:12" x14ac:dyDescent="0.25">
      <c r="A183" s="5" t="s">
        <v>24</v>
      </c>
      <c r="B183" s="14">
        <f t="shared" ref="B183:J183" si="43">B179+B182</f>
        <v>1075.57</v>
      </c>
      <c r="C183" s="14">
        <f t="shared" si="43"/>
        <v>0</v>
      </c>
      <c r="D183" s="14">
        <f t="shared" si="43"/>
        <v>57256.729999999996</v>
      </c>
      <c r="E183" s="14">
        <f t="shared" si="43"/>
        <v>215.16</v>
      </c>
      <c r="F183" s="14">
        <f t="shared" si="43"/>
        <v>0</v>
      </c>
      <c r="G183" s="14">
        <f t="shared" si="43"/>
        <v>0</v>
      </c>
      <c r="H183" s="14">
        <f t="shared" si="43"/>
        <v>0</v>
      </c>
      <c r="I183" s="14">
        <f t="shared" si="43"/>
        <v>0</v>
      </c>
      <c r="J183" s="14">
        <f t="shared" si="43"/>
        <v>58547.46</v>
      </c>
      <c r="L183" s="19"/>
    </row>
    <row r="184" spans="1:12" x14ac:dyDescent="0.25">
      <c r="A184" s="10" t="s">
        <v>43</v>
      </c>
      <c r="B184" s="14"/>
      <c r="C184" s="14"/>
      <c r="D184" s="14"/>
      <c r="E184" s="14"/>
      <c r="F184" s="14"/>
      <c r="G184" s="14"/>
      <c r="H184" s="14"/>
      <c r="I184" s="14"/>
      <c r="J184" s="14"/>
      <c r="L184" s="19"/>
    </row>
    <row r="185" spans="1:12" x14ac:dyDescent="0.25">
      <c r="A185" s="9" t="s">
        <v>11</v>
      </c>
      <c r="B185" s="14"/>
      <c r="C185" s="14"/>
      <c r="D185" s="14">
        <f>42898.13+5481.46+5481.46</f>
        <v>53861.049999999996</v>
      </c>
      <c r="E185" s="14"/>
      <c r="F185" s="14"/>
      <c r="G185" s="14"/>
      <c r="H185" s="14"/>
      <c r="I185" s="14"/>
      <c r="J185" s="14">
        <f t="shared" ref="J185:J197" si="44">SUM(B185:I185)</f>
        <v>53861.049999999996</v>
      </c>
      <c r="L185" s="19"/>
    </row>
    <row r="186" spans="1:12" x14ac:dyDescent="0.25">
      <c r="A186" s="9" t="s">
        <v>12</v>
      </c>
      <c r="B186" s="14"/>
      <c r="C186" s="14"/>
      <c r="D186" s="14"/>
      <c r="E186" s="14">
        <v>215.16</v>
      </c>
      <c r="F186" s="14"/>
      <c r="G186" s="14"/>
      <c r="H186" s="14"/>
      <c r="I186" s="14"/>
      <c r="J186" s="14">
        <f t="shared" si="44"/>
        <v>215.16</v>
      </c>
      <c r="L186" s="19"/>
    </row>
    <row r="187" spans="1:12" x14ac:dyDescent="0.25">
      <c r="A187" s="9" t="s">
        <v>13</v>
      </c>
      <c r="B187" s="14"/>
      <c r="C187" s="14"/>
      <c r="D187" s="14"/>
      <c r="E187" s="14"/>
      <c r="F187" s="14"/>
      <c r="G187" s="14"/>
      <c r="H187" s="14"/>
      <c r="I187" s="14"/>
      <c r="J187" s="14">
        <f t="shared" si="44"/>
        <v>0</v>
      </c>
      <c r="L187" s="19"/>
    </row>
    <row r="188" spans="1:12" x14ac:dyDescent="0.25">
      <c r="A188" s="9" t="s">
        <v>14</v>
      </c>
      <c r="B188" s="14"/>
      <c r="C188" s="14"/>
      <c r="D188" s="14">
        <f>138.77</f>
        <v>138.77000000000001</v>
      </c>
      <c r="E188" s="14"/>
      <c r="F188" s="14"/>
      <c r="G188" s="14"/>
      <c r="H188" s="14"/>
      <c r="I188" s="14"/>
      <c r="J188" s="14">
        <f t="shared" si="44"/>
        <v>138.77000000000001</v>
      </c>
      <c r="L188" s="19"/>
    </row>
    <row r="189" spans="1:12" x14ac:dyDescent="0.25">
      <c r="A189" s="9" t="s">
        <v>15</v>
      </c>
      <c r="B189" s="14"/>
      <c r="C189" s="14"/>
      <c r="D189" s="14"/>
      <c r="E189" s="14"/>
      <c r="F189" s="14"/>
      <c r="G189" s="14"/>
      <c r="H189" s="14"/>
      <c r="I189" s="14"/>
      <c r="J189" s="14">
        <f t="shared" si="44"/>
        <v>0</v>
      </c>
      <c r="L189" s="19"/>
    </row>
    <row r="190" spans="1:12" x14ac:dyDescent="0.25">
      <c r="A190" s="9" t="s">
        <v>16</v>
      </c>
      <c r="B190" s="14"/>
      <c r="C190" s="14"/>
      <c r="D190" s="14"/>
      <c r="E190" s="14"/>
      <c r="F190" s="14"/>
      <c r="G190" s="14"/>
      <c r="H190" s="14"/>
      <c r="I190" s="14"/>
      <c r="J190" s="14">
        <f t="shared" si="44"/>
        <v>0</v>
      </c>
      <c r="L190" s="19"/>
    </row>
    <row r="191" spans="1:12" x14ac:dyDescent="0.25">
      <c r="A191" s="9" t="s">
        <v>17</v>
      </c>
      <c r="B191" s="14"/>
      <c r="C191" s="14"/>
      <c r="D191" s="14"/>
      <c r="E191" s="14"/>
      <c r="F191" s="14"/>
      <c r="G191" s="14"/>
      <c r="H191" s="14"/>
      <c r="I191" s="14"/>
      <c r="J191" s="14">
        <f t="shared" si="44"/>
        <v>0</v>
      </c>
      <c r="L191" s="19"/>
    </row>
    <row r="192" spans="1:12" x14ac:dyDescent="0.25">
      <c r="A192" s="9" t="s">
        <v>18</v>
      </c>
      <c r="B192" s="14"/>
      <c r="C192" s="14"/>
      <c r="D192" s="14"/>
      <c r="E192" s="14"/>
      <c r="F192" s="14"/>
      <c r="G192" s="14"/>
      <c r="H192" s="14"/>
      <c r="I192" s="14"/>
      <c r="J192" s="14">
        <f t="shared" si="44"/>
        <v>0</v>
      </c>
      <c r="L192" s="19"/>
    </row>
    <row r="193" spans="1:12" x14ac:dyDescent="0.25">
      <c r="A193" s="9" t="s">
        <v>19</v>
      </c>
      <c r="B193" s="14"/>
      <c r="C193" s="14"/>
      <c r="D193" s="14"/>
      <c r="E193" s="14"/>
      <c r="F193" s="14"/>
      <c r="G193" s="14"/>
      <c r="H193" s="14"/>
      <c r="I193" s="14"/>
      <c r="J193" s="14">
        <f t="shared" si="44"/>
        <v>0</v>
      </c>
      <c r="L193" s="19"/>
    </row>
    <row r="194" spans="1:12" x14ac:dyDescent="0.25">
      <c r="A194" s="9" t="s">
        <v>20</v>
      </c>
      <c r="B194" s="14"/>
      <c r="C194" s="14"/>
      <c r="D194" s="14"/>
      <c r="E194" s="14"/>
      <c r="F194" s="14"/>
      <c r="G194" s="14"/>
      <c r="H194" s="14"/>
      <c r="I194" s="14"/>
      <c r="J194" s="14">
        <f t="shared" si="44"/>
        <v>0</v>
      </c>
      <c r="L194" s="19"/>
    </row>
    <row r="195" spans="1:12" x14ac:dyDescent="0.25">
      <c r="A195" s="5" t="s">
        <v>21</v>
      </c>
      <c r="B195" s="14">
        <f t="shared" ref="B195:I195" si="45">SUM(B185:B194)</f>
        <v>0</v>
      </c>
      <c r="C195" s="14">
        <f t="shared" si="45"/>
        <v>0</v>
      </c>
      <c r="D195" s="14">
        <f t="shared" si="45"/>
        <v>53999.819999999992</v>
      </c>
      <c r="E195" s="14">
        <f t="shared" si="45"/>
        <v>215.16</v>
      </c>
      <c r="F195" s="14">
        <f t="shared" si="45"/>
        <v>0</v>
      </c>
      <c r="G195" s="14">
        <f t="shared" si="45"/>
        <v>0</v>
      </c>
      <c r="H195" s="14">
        <f t="shared" si="45"/>
        <v>0</v>
      </c>
      <c r="I195" s="14">
        <f t="shared" si="45"/>
        <v>0</v>
      </c>
      <c r="J195" s="14">
        <f t="shared" si="44"/>
        <v>54214.979999999996</v>
      </c>
      <c r="L195" s="19"/>
    </row>
    <row r="196" spans="1:12" x14ac:dyDescent="0.25">
      <c r="A196" s="9" t="s">
        <v>22</v>
      </c>
      <c r="B196" s="14"/>
      <c r="C196" s="14"/>
      <c r="D196" s="14"/>
      <c r="E196" s="14"/>
      <c r="F196" s="14"/>
      <c r="G196" s="14"/>
      <c r="H196" s="14"/>
      <c r="I196" s="14"/>
      <c r="J196" s="14">
        <f t="shared" si="44"/>
        <v>0</v>
      </c>
      <c r="L196" s="19"/>
    </row>
    <row r="197" spans="1:12" x14ac:dyDescent="0.25">
      <c r="A197" s="9" t="s">
        <v>23</v>
      </c>
      <c r="B197" s="14"/>
      <c r="C197" s="14"/>
      <c r="D197" s="14"/>
      <c r="E197" s="14"/>
      <c r="F197" s="14"/>
      <c r="G197" s="14"/>
      <c r="H197" s="14"/>
      <c r="I197" s="14"/>
      <c r="J197" s="14">
        <f t="shared" si="44"/>
        <v>0</v>
      </c>
      <c r="L197" s="19"/>
    </row>
    <row r="198" spans="1:12" x14ac:dyDescent="0.25">
      <c r="A198" s="5" t="s">
        <v>42</v>
      </c>
      <c r="B198" s="14">
        <f t="shared" ref="B198:J198" si="46">SUM(B196:B197)</f>
        <v>0</v>
      </c>
      <c r="C198" s="14">
        <f t="shared" si="46"/>
        <v>0</v>
      </c>
      <c r="D198" s="14">
        <f t="shared" si="46"/>
        <v>0</v>
      </c>
      <c r="E198" s="14">
        <f t="shared" si="46"/>
        <v>0</v>
      </c>
      <c r="F198" s="14">
        <f t="shared" si="46"/>
        <v>0</v>
      </c>
      <c r="G198" s="14">
        <f t="shared" si="46"/>
        <v>0</v>
      </c>
      <c r="H198" s="14">
        <f t="shared" si="46"/>
        <v>0</v>
      </c>
      <c r="I198" s="14">
        <f t="shared" si="46"/>
        <v>0</v>
      </c>
      <c r="J198" s="14">
        <f t="shared" si="46"/>
        <v>0</v>
      </c>
      <c r="L198" s="19"/>
    </row>
    <row r="199" spans="1:12" x14ac:dyDescent="0.25">
      <c r="A199" s="5" t="s">
        <v>24</v>
      </c>
      <c r="B199" s="14">
        <f t="shared" ref="B199:J199" si="47">B195+B198</f>
        <v>0</v>
      </c>
      <c r="C199" s="14">
        <f t="shared" si="47"/>
        <v>0</v>
      </c>
      <c r="D199" s="14">
        <f t="shared" si="47"/>
        <v>53999.819999999992</v>
      </c>
      <c r="E199" s="14">
        <f t="shared" si="47"/>
        <v>215.16</v>
      </c>
      <c r="F199" s="14">
        <f t="shared" si="47"/>
        <v>0</v>
      </c>
      <c r="G199" s="14">
        <f t="shared" si="47"/>
        <v>0</v>
      </c>
      <c r="H199" s="14">
        <f t="shared" si="47"/>
        <v>0</v>
      </c>
      <c r="I199" s="14">
        <f t="shared" si="47"/>
        <v>0</v>
      </c>
      <c r="J199" s="14">
        <f t="shared" si="47"/>
        <v>54214.979999999996</v>
      </c>
      <c r="L199" s="19"/>
    </row>
    <row r="200" spans="1:12" x14ac:dyDescent="0.25">
      <c r="A200" s="10" t="s">
        <v>44</v>
      </c>
      <c r="B200" s="14"/>
      <c r="C200" s="14"/>
      <c r="D200" s="14"/>
      <c r="E200" s="14"/>
      <c r="F200" s="14"/>
      <c r="G200" s="14"/>
      <c r="H200" s="14"/>
      <c r="I200" s="14"/>
      <c r="J200" s="14"/>
      <c r="L200" s="19"/>
    </row>
    <row r="201" spans="1:12" x14ac:dyDescent="0.25">
      <c r="A201" s="9" t="s">
        <v>11</v>
      </c>
      <c r="B201" s="14"/>
      <c r="C201" s="14"/>
      <c r="D201" s="14">
        <f>34866.04+3836.61+3836.61</f>
        <v>42539.26</v>
      </c>
      <c r="E201" s="14"/>
      <c r="F201" s="14"/>
      <c r="G201" s="14"/>
      <c r="H201" s="14"/>
      <c r="I201" s="14"/>
      <c r="J201" s="14">
        <f t="shared" ref="J201:J213" si="48">SUM(B201:I201)</f>
        <v>42539.26</v>
      </c>
      <c r="L201" s="19"/>
    </row>
    <row r="202" spans="1:12" x14ac:dyDescent="0.25">
      <c r="A202" s="9" t="s">
        <v>12</v>
      </c>
      <c r="B202" s="14"/>
      <c r="C202" s="14"/>
      <c r="D202" s="14"/>
      <c r="E202" s="14">
        <v>215.16</v>
      </c>
      <c r="F202" s="14"/>
      <c r="G202" s="14"/>
      <c r="H202" s="14"/>
      <c r="I202" s="14"/>
      <c r="J202" s="14">
        <f t="shared" si="48"/>
        <v>215.16</v>
      </c>
      <c r="L202" s="19"/>
    </row>
    <row r="203" spans="1:12" x14ac:dyDescent="0.25">
      <c r="A203" s="9" t="s">
        <v>13</v>
      </c>
      <c r="B203" s="14"/>
      <c r="C203" s="14"/>
      <c r="D203" s="14"/>
      <c r="E203" s="14"/>
      <c r="F203" s="14"/>
      <c r="G203" s="14"/>
      <c r="H203" s="14"/>
      <c r="I203" s="14"/>
      <c r="J203" s="14">
        <f t="shared" si="48"/>
        <v>0</v>
      </c>
      <c r="L203" s="19"/>
    </row>
    <row r="204" spans="1:12" x14ac:dyDescent="0.25">
      <c r="A204" s="9" t="s">
        <v>14</v>
      </c>
      <c r="B204" s="14"/>
      <c r="C204" s="14"/>
      <c r="D204" s="14">
        <f>138.56+189</f>
        <v>327.56</v>
      </c>
      <c r="E204" s="14"/>
      <c r="F204" s="14"/>
      <c r="G204" s="14"/>
      <c r="H204" s="14"/>
      <c r="I204" s="14"/>
      <c r="J204" s="14">
        <f t="shared" si="48"/>
        <v>327.56</v>
      </c>
      <c r="L204" s="19"/>
    </row>
    <row r="205" spans="1:12" x14ac:dyDescent="0.25">
      <c r="A205" s="9" t="s">
        <v>15</v>
      </c>
      <c r="B205" s="14"/>
      <c r="C205" s="14"/>
      <c r="D205" s="14"/>
      <c r="E205" s="14"/>
      <c r="F205" s="14"/>
      <c r="G205" s="14"/>
      <c r="H205" s="14"/>
      <c r="I205" s="14"/>
      <c r="J205" s="14">
        <f t="shared" si="48"/>
        <v>0</v>
      </c>
      <c r="L205" s="19"/>
    </row>
    <row r="206" spans="1:12" x14ac:dyDescent="0.25">
      <c r="A206" s="9" t="s">
        <v>16</v>
      </c>
      <c r="B206" s="14"/>
      <c r="C206" s="14"/>
      <c r="D206" s="14"/>
      <c r="E206" s="14"/>
      <c r="F206" s="14"/>
      <c r="G206" s="14"/>
      <c r="H206" s="14"/>
      <c r="I206" s="14"/>
      <c r="J206" s="14">
        <f t="shared" si="48"/>
        <v>0</v>
      </c>
      <c r="L206" s="19"/>
    </row>
    <row r="207" spans="1:12" x14ac:dyDescent="0.25">
      <c r="A207" s="9" t="s">
        <v>17</v>
      </c>
      <c r="B207" s="14"/>
      <c r="C207" s="14"/>
      <c r="D207" s="14"/>
      <c r="E207" s="14"/>
      <c r="F207" s="14"/>
      <c r="G207" s="14"/>
      <c r="H207" s="14"/>
      <c r="I207" s="14"/>
      <c r="J207" s="14">
        <f t="shared" si="48"/>
        <v>0</v>
      </c>
      <c r="L207" s="19"/>
    </row>
    <row r="208" spans="1:12" x14ac:dyDescent="0.25">
      <c r="A208" s="9" t="s">
        <v>18</v>
      </c>
      <c r="B208" s="14">
        <f>128.94+21.49</f>
        <v>150.43</v>
      </c>
      <c r="C208" s="14"/>
      <c r="D208" s="14"/>
      <c r="E208" s="14"/>
      <c r="F208" s="14"/>
      <c r="G208" s="14"/>
      <c r="H208" s="14"/>
      <c r="I208" s="14"/>
      <c r="J208" s="14">
        <f t="shared" si="48"/>
        <v>150.43</v>
      </c>
      <c r="L208" s="19"/>
    </row>
    <row r="209" spans="1:12" x14ac:dyDescent="0.25">
      <c r="A209" s="9" t="s">
        <v>19</v>
      </c>
      <c r="B209" s="14"/>
      <c r="C209" s="14"/>
      <c r="D209" s="14"/>
      <c r="E209" s="14"/>
      <c r="F209" s="14"/>
      <c r="G209" s="14"/>
      <c r="H209" s="14"/>
      <c r="I209" s="14"/>
      <c r="J209" s="14">
        <f t="shared" si="48"/>
        <v>0</v>
      </c>
      <c r="L209" s="19"/>
    </row>
    <row r="210" spans="1:12" x14ac:dyDescent="0.25">
      <c r="A210" s="9" t="s">
        <v>20</v>
      </c>
      <c r="B210" s="14"/>
      <c r="C210" s="14"/>
      <c r="D210" s="14"/>
      <c r="E210" s="14"/>
      <c r="F210" s="14"/>
      <c r="G210" s="14"/>
      <c r="H210" s="14"/>
      <c r="I210" s="14"/>
      <c r="J210" s="14">
        <f t="shared" si="48"/>
        <v>0</v>
      </c>
      <c r="L210" s="19"/>
    </row>
    <row r="211" spans="1:12" x14ac:dyDescent="0.25">
      <c r="A211" s="5" t="s">
        <v>21</v>
      </c>
      <c r="B211" s="14">
        <f t="shared" ref="B211:I211" si="49">SUM(B201:B210)</f>
        <v>150.43</v>
      </c>
      <c r="C211" s="14">
        <f t="shared" si="49"/>
        <v>0</v>
      </c>
      <c r="D211" s="14">
        <f t="shared" si="49"/>
        <v>42866.82</v>
      </c>
      <c r="E211" s="14">
        <f t="shared" si="49"/>
        <v>215.16</v>
      </c>
      <c r="F211" s="14">
        <f t="shared" si="49"/>
        <v>0</v>
      </c>
      <c r="G211" s="14">
        <f t="shared" si="49"/>
        <v>0</v>
      </c>
      <c r="H211" s="14">
        <f t="shared" si="49"/>
        <v>0</v>
      </c>
      <c r="I211" s="14">
        <f t="shared" si="49"/>
        <v>0</v>
      </c>
      <c r="J211" s="14">
        <f t="shared" si="48"/>
        <v>43232.41</v>
      </c>
      <c r="L211" s="19"/>
    </row>
    <row r="212" spans="1:12" x14ac:dyDescent="0.25">
      <c r="A212" s="9" t="s">
        <v>22</v>
      </c>
      <c r="B212" s="14"/>
      <c r="C212" s="14"/>
      <c r="D212" s="14"/>
      <c r="E212" s="14"/>
      <c r="F212" s="14"/>
      <c r="G212" s="14"/>
      <c r="H212" s="14"/>
      <c r="I212" s="14"/>
      <c r="J212" s="14">
        <f t="shared" si="48"/>
        <v>0</v>
      </c>
      <c r="L212" s="19"/>
    </row>
    <row r="213" spans="1:12" x14ac:dyDescent="0.25">
      <c r="A213" s="9" t="s">
        <v>23</v>
      </c>
      <c r="B213" s="14"/>
      <c r="C213" s="14"/>
      <c r="D213" s="14"/>
      <c r="E213" s="14"/>
      <c r="F213" s="14"/>
      <c r="G213" s="14"/>
      <c r="H213" s="14"/>
      <c r="I213" s="14"/>
      <c r="J213" s="14">
        <f t="shared" si="48"/>
        <v>0</v>
      </c>
      <c r="L213" s="19"/>
    </row>
    <row r="214" spans="1:12" x14ac:dyDescent="0.25">
      <c r="A214" s="5" t="s">
        <v>42</v>
      </c>
      <c r="B214" s="14">
        <f t="shared" ref="B214:J214" si="50">SUM(B212:B213)</f>
        <v>0</v>
      </c>
      <c r="C214" s="14">
        <f t="shared" si="50"/>
        <v>0</v>
      </c>
      <c r="D214" s="14">
        <f t="shared" si="50"/>
        <v>0</v>
      </c>
      <c r="E214" s="14">
        <f t="shared" si="50"/>
        <v>0</v>
      </c>
      <c r="F214" s="14">
        <f t="shared" si="50"/>
        <v>0</v>
      </c>
      <c r="G214" s="14">
        <f t="shared" si="50"/>
        <v>0</v>
      </c>
      <c r="H214" s="14">
        <f t="shared" si="50"/>
        <v>0</v>
      </c>
      <c r="I214" s="14">
        <f t="shared" si="50"/>
        <v>0</v>
      </c>
      <c r="J214" s="14">
        <f t="shared" si="50"/>
        <v>0</v>
      </c>
      <c r="L214" s="19"/>
    </row>
    <row r="215" spans="1:12" x14ac:dyDescent="0.25">
      <c r="A215" s="5" t="s">
        <v>24</v>
      </c>
      <c r="B215" s="14">
        <f t="shared" ref="B215:J215" si="51">B211+B214</f>
        <v>150.43</v>
      </c>
      <c r="C215" s="14">
        <f t="shared" si="51"/>
        <v>0</v>
      </c>
      <c r="D215" s="14">
        <f t="shared" si="51"/>
        <v>42866.82</v>
      </c>
      <c r="E215" s="14">
        <f t="shared" si="51"/>
        <v>215.16</v>
      </c>
      <c r="F215" s="14">
        <f t="shared" si="51"/>
        <v>0</v>
      </c>
      <c r="G215" s="14">
        <f t="shared" si="51"/>
        <v>0</v>
      </c>
      <c r="H215" s="14">
        <f t="shared" si="51"/>
        <v>0</v>
      </c>
      <c r="I215" s="14">
        <f t="shared" si="51"/>
        <v>0</v>
      </c>
      <c r="J215" s="14">
        <f t="shared" si="51"/>
        <v>43232.41</v>
      </c>
      <c r="L215" s="19"/>
    </row>
    <row r="216" spans="1:12" x14ac:dyDescent="0.25">
      <c r="A216" s="10" t="s">
        <v>113</v>
      </c>
      <c r="B216" s="14"/>
      <c r="C216" s="14"/>
      <c r="D216" s="14"/>
      <c r="E216" s="14"/>
      <c r="F216" s="14"/>
      <c r="G216" s="14"/>
      <c r="H216" s="14"/>
      <c r="I216" s="14"/>
      <c r="J216" s="14"/>
      <c r="L216" s="19"/>
    </row>
    <row r="217" spans="1:12" x14ac:dyDescent="0.25">
      <c r="A217" s="9" t="s">
        <v>11</v>
      </c>
      <c r="B217" s="14"/>
      <c r="C217" s="14"/>
      <c r="D217" s="14">
        <f>142649.13+14854.12+14854.12</f>
        <v>172357.37</v>
      </c>
      <c r="E217" s="14"/>
      <c r="F217" s="14"/>
      <c r="G217" s="14"/>
      <c r="H217" s="14"/>
      <c r="I217" s="14"/>
      <c r="J217" s="14">
        <f t="shared" ref="J217:J229" si="52">SUM(B217:I217)</f>
        <v>172357.37</v>
      </c>
      <c r="L217" s="19"/>
    </row>
    <row r="218" spans="1:12" x14ac:dyDescent="0.25">
      <c r="A218" s="9" t="s">
        <v>12</v>
      </c>
      <c r="B218" s="14"/>
      <c r="C218" s="14"/>
      <c r="D218" s="14">
        <v>399</v>
      </c>
      <c r="E218" s="14">
        <v>215.16</v>
      </c>
      <c r="F218" s="14"/>
      <c r="G218" s="14"/>
      <c r="H218" s="14"/>
      <c r="I218" s="14"/>
      <c r="J218" s="14">
        <f t="shared" si="52"/>
        <v>614.16</v>
      </c>
      <c r="L218" s="19"/>
    </row>
    <row r="219" spans="1:12" x14ac:dyDescent="0.25">
      <c r="A219" s="9" t="s">
        <v>13</v>
      </c>
      <c r="B219" s="14"/>
      <c r="C219" s="14"/>
      <c r="D219" s="14"/>
      <c r="E219" s="14"/>
      <c r="F219" s="14"/>
      <c r="G219" s="14"/>
      <c r="H219" s="14"/>
      <c r="I219" s="14"/>
      <c r="J219" s="14">
        <f t="shared" si="52"/>
        <v>0</v>
      </c>
      <c r="L219" s="19"/>
    </row>
    <row r="220" spans="1:12" x14ac:dyDescent="0.25">
      <c r="A220" s="9" t="s">
        <v>14</v>
      </c>
      <c r="B220" s="14"/>
      <c r="C220" s="14"/>
      <c r="D220" s="14">
        <f>297.66</f>
        <v>297.66000000000003</v>
      </c>
      <c r="E220" s="14"/>
      <c r="F220" s="14"/>
      <c r="G220" s="14"/>
      <c r="H220" s="14"/>
      <c r="I220" s="14"/>
      <c r="J220" s="14">
        <f t="shared" si="52"/>
        <v>297.66000000000003</v>
      </c>
      <c r="L220" s="19"/>
    </row>
    <row r="221" spans="1:12" x14ac:dyDescent="0.25">
      <c r="A221" s="9" t="s">
        <v>15</v>
      </c>
      <c r="B221" s="14"/>
      <c r="C221" s="14"/>
      <c r="D221" s="14">
        <v>2545.04</v>
      </c>
      <c r="E221" s="14"/>
      <c r="F221" s="14"/>
      <c r="G221" s="14"/>
      <c r="H221" s="14"/>
      <c r="I221" s="14"/>
      <c r="J221" s="14">
        <f t="shared" si="52"/>
        <v>2545.04</v>
      </c>
      <c r="L221" s="19"/>
    </row>
    <row r="222" spans="1:12" x14ac:dyDescent="0.25">
      <c r="A222" s="9" t="s">
        <v>16</v>
      </c>
      <c r="B222" s="14"/>
      <c r="C222" s="14"/>
      <c r="D222" s="14"/>
      <c r="E222" s="14"/>
      <c r="F222" s="14"/>
      <c r="G222" s="14"/>
      <c r="H222" s="14"/>
      <c r="I222" s="14"/>
      <c r="J222" s="14">
        <f t="shared" si="52"/>
        <v>0</v>
      </c>
      <c r="L222" s="19"/>
    </row>
    <row r="223" spans="1:12" x14ac:dyDescent="0.25">
      <c r="A223" s="9" t="s">
        <v>17</v>
      </c>
      <c r="B223" s="14"/>
      <c r="C223" s="14"/>
      <c r="D223" s="14"/>
      <c r="E223" s="14"/>
      <c r="F223" s="14"/>
      <c r="G223" s="14"/>
      <c r="H223" s="14"/>
      <c r="I223" s="14"/>
      <c r="J223" s="14">
        <f t="shared" si="52"/>
        <v>0</v>
      </c>
      <c r="L223" s="19"/>
    </row>
    <row r="224" spans="1:12" x14ac:dyDescent="0.25">
      <c r="A224" s="9" t="s">
        <v>18</v>
      </c>
      <c r="B224" s="14">
        <f>506.55+84.42</f>
        <v>590.97</v>
      </c>
      <c r="C224" s="14"/>
      <c r="D224" s="14"/>
      <c r="E224" s="14"/>
      <c r="F224" s="14"/>
      <c r="G224" s="14"/>
      <c r="H224" s="14"/>
      <c r="I224" s="14"/>
      <c r="J224" s="14">
        <f t="shared" si="52"/>
        <v>590.97</v>
      </c>
      <c r="L224" s="19"/>
    </row>
    <row r="225" spans="1:12" x14ac:dyDescent="0.25">
      <c r="A225" s="9" t="s">
        <v>19</v>
      </c>
      <c r="B225" s="14"/>
      <c r="C225" s="14"/>
      <c r="D225" s="14"/>
      <c r="E225" s="14"/>
      <c r="F225" s="14"/>
      <c r="G225" s="14"/>
      <c r="H225" s="14"/>
      <c r="I225" s="14"/>
      <c r="J225" s="14">
        <f t="shared" si="52"/>
        <v>0</v>
      </c>
      <c r="L225" s="19"/>
    </row>
    <row r="226" spans="1:12" x14ac:dyDescent="0.25">
      <c r="A226" s="9" t="s">
        <v>20</v>
      </c>
      <c r="B226" s="14">
        <v>11808</v>
      </c>
      <c r="C226" s="14"/>
      <c r="D226" s="14"/>
      <c r="E226" s="14"/>
      <c r="F226" s="14"/>
      <c r="G226" s="14"/>
      <c r="H226" s="14"/>
      <c r="I226" s="14"/>
      <c r="J226" s="14">
        <f t="shared" si="52"/>
        <v>11808</v>
      </c>
      <c r="L226" s="19"/>
    </row>
    <row r="227" spans="1:12" x14ac:dyDescent="0.25">
      <c r="A227" s="5" t="s">
        <v>21</v>
      </c>
      <c r="B227" s="14">
        <f t="shared" ref="B227:I227" si="53">SUM(B217:B226)</f>
        <v>12398.97</v>
      </c>
      <c r="C227" s="14">
        <f t="shared" si="53"/>
        <v>0</v>
      </c>
      <c r="D227" s="14">
        <f t="shared" si="53"/>
        <v>175599.07</v>
      </c>
      <c r="E227" s="14">
        <f t="shared" si="53"/>
        <v>215.16</v>
      </c>
      <c r="F227" s="14">
        <f t="shared" si="53"/>
        <v>0</v>
      </c>
      <c r="G227" s="14">
        <f t="shared" si="53"/>
        <v>0</v>
      </c>
      <c r="H227" s="14">
        <f t="shared" si="53"/>
        <v>0</v>
      </c>
      <c r="I227" s="14">
        <f t="shared" si="53"/>
        <v>0</v>
      </c>
      <c r="J227" s="14">
        <f t="shared" si="52"/>
        <v>188213.2</v>
      </c>
      <c r="L227" s="19"/>
    </row>
    <row r="228" spans="1:12" x14ac:dyDescent="0.25">
      <c r="A228" s="9" t="s">
        <v>22</v>
      </c>
      <c r="B228" s="14"/>
      <c r="C228" s="14"/>
      <c r="D228" s="14"/>
      <c r="E228" s="14"/>
      <c r="F228" s="14"/>
      <c r="G228" s="14"/>
      <c r="H228" s="14"/>
      <c r="I228" s="14"/>
      <c r="J228" s="14">
        <f t="shared" si="52"/>
        <v>0</v>
      </c>
      <c r="L228" s="19"/>
    </row>
    <row r="229" spans="1:12" x14ac:dyDescent="0.25">
      <c r="A229" s="9" t="s">
        <v>23</v>
      </c>
      <c r="B229" s="14"/>
      <c r="C229" s="14"/>
      <c r="D229" s="14"/>
      <c r="E229" s="14"/>
      <c r="F229" s="14"/>
      <c r="G229" s="14"/>
      <c r="H229" s="14"/>
      <c r="I229" s="14"/>
      <c r="J229" s="14">
        <f t="shared" si="52"/>
        <v>0</v>
      </c>
      <c r="L229" s="19"/>
    </row>
    <row r="230" spans="1:12" x14ac:dyDescent="0.25">
      <c r="A230" s="5" t="s">
        <v>42</v>
      </c>
      <c r="B230" s="14">
        <f t="shared" ref="B230:J230" si="54">SUM(B228:B229)</f>
        <v>0</v>
      </c>
      <c r="C230" s="14">
        <f t="shared" si="54"/>
        <v>0</v>
      </c>
      <c r="D230" s="14">
        <f t="shared" si="54"/>
        <v>0</v>
      </c>
      <c r="E230" s="14">
        <f t="shared" si="54"/>
        <v>0</v>
      </c>
      <c r="F230" s="14">
        <f t="shared" si="54"/>
        <v>0</v>
      </c>
      <c r="G230" s="14">
        <f t="shared" si="54"/>
        <v>0</v>
      </c>
      <c r="H230" s="14">
        <f t="shared" si="54"/>
        <v>0</v>
      </c>
      <c r="I230" s="14">
        <f t="shared" si="54"/>
        <v>0</v>
      </c>
      <c r="J230" s="14">
        <f t="shared" si="54"/>
        <v>0</v>
      </c>
      <c r="L230" s="19"/>
    </row>
    <row r="231" spans="1:12" x14ac:dyDescent="0.25">
      <c r="A231" s="5" t="s">
        <v>24</v>
      </c>
      <c r="B231" s="14">
        <f t="shared" ref="B231:J231" si="55">B227+B230</f>
        <v>12398.97</v>
      </c>
      <c r="C231" s="14">
        <f t="shared" si="55"/>
        <v>0</v>
      </c>
      <c r="D231" s="14">
        <f t="shared" si="55"/>
        <v>175599.07</v>
      </c>
      <c r="E231" s="14">
        <f t="shared" si="55"/>
        <v>215.16</v>
      </c>
      <c r="F231" s="14">
        <f t="shared" si="55"/>
        <v>0</v>
      </c>
      <c r="G231" s="14">
        <f t="shared" si="55"/>
        <v>0</v>
      </c>
      <c r="H231" s="14">
        <f t="shared" si="55"/>
        <v>0</v>
      </c>
      <c r="I231" s="14">
        <f t="shared" si="55"/>
        <v>0</v>
      </c>
      <c r="J231" s="14">
        <f t="shared" si="55"/>
        <v>188213.2</v>
      </c>
      <c r="L231" s="19"/>
    </row>
    <row r="232" spans="1:12" x14ac:dyDescent="0.25">
      <c r="A232" s="10" t="s">
        <v>45</v>
      </c>
      <c r="B232" s="14"/>
      <c r="C232" s="14"/>
      <c r="D232" s="14"/>
      <c r="E232" s="14"/>
      <c r="F232" s="14"/>
      <c r="G232" s="14"/>
      <c r="H232" s="14"/>
      <c r="I232" s="14"/>
      <c r="J232" s="14"/>
      <c r="L232" s="19"/>
    </row>
    <row r="233" spans="1:12" x14ac:dyDescent="0.25">
      <c r="A233" s="9" t="s">
        <v>11</v>
      </c>
      <c r="B233" s="14"/>
      <c r="C233" s="14"/>
      <c r="D233" s="14">
        <f>42795.65+5504.76+5504.76</f>
        <v>53805.170000000006</v>
      </c>
      <c r="E233" s="14"/>
      <c r="F233" s="14"/>
      <c r="G233" s="14"/>
      <c r="H233" s="14"/>
      <c r="I233" s="14"/>
      <c r="J233" s="14">
        <f t="shared" ref="J233:J245" si="56">SUM(B233:I233)</f>
        <v>53805.170000000006</v>
      </c>
      <c r="L233" s="19"/>
    </row>
    <row r="234" spans="1:12" x14ac:dyDescent="0.25">
      <c r="A234" s="9" t="s">
        <v>12</v>
      </c>
      <c r="B234" s="14"/>
      <c r="C234" s="14"/>
      <c r="D234" s="14">
        <v>399</v>
      </c>
      <c r="E234" s="14">
        <v>215.16</v>
      </c>
      <c r="F234" s="14"/>
      <c r="G234" s="14"/>
      <c r="H234" s="14"/>
      <c r="I234" s="14"/>
      <c r="J234" s="14">
        <f t="shared" si="56"/>
        <v>614.16</v>
      </c>
      <c r="L234" s="19"/>
    </row>
    <row r="235" spans="1:12" x14ac:dyDescent="0.25">
      <c r="A235" s="9" t="s">
        <v>13</v>
      </c>
      <c r="B235" s="14"/>
      <c r="C235" s="14"/>
      <c r="D235" s="14"/>
      <c r="E235" s="14"/>
      <c r="F235" s="14"/>
      <c r="G235" s="14"/>
      <c r="H235" s="14"/>
      <c r="I235" s="14"/>
      <c r="J235" s="14">
        <f t="shared" si="56"/>
        <v>0</v>
      </c>
      <c r="L235" s="19"/>
    </row>
    <row r="236" spans="1:12" x14ac:dyDescent="0.25">
      <c r="A236" s="9" t="s">
        <v>14</v>
      </c>
      <c r="B236" s="14"/>
      <c r="C236" s="14"/>
      <c r="D236" s="14">
        <f>138.56+297.66</f>
        <v>436.22</v>
      </c>
      <c r="E236" s="14"/>
      <c r="F236" s="14"/>
      <c r="G236" s="14"/>
      <c r="H236" s="14"/>
      <c r="I236" s="14"/>
      <c r="J236" s="14">
        <f t="shared" si="56"/>
        <v>436.22</v>
      </c>
      <c r="L236" s="19"/>
    </row>
    <row r="237" spans="1:12" x14ac:dyDescent="0.25">
      <c r="A237" s="9" t="s">
        <v>15</v>
      </c>
      <c r="B237" s="14"/>
      <c r="C237" s="14"/>
      <c r="D237" s="14"/>
      <c r="E237" s="14"/>
      <c r="F237" s="14"/>
      <c r="G237" s="14"/>
      <c r="H237" s="14"/>
      <c r="I237" s="14"/>
      <c r="J237" s="14">
        <f t="shared" si="56"/>
        <v>0</v>
      </c>
      <c r="L237" s="19"/>
    </row>
    <row r="238" spans="1:12" x14ac:dyDescent="0.25">
      <c r="A238" s="9" t="s">
        <v>16</v>
      </c>
      <c r="B238" s="14"/>
      <c r="C238" s="14"/>
      <c r="D238" s="14"/>
      <c r="E238" s="14"/>
      <c r="F238" s="14"/>
      <c r="G238" s="14"/>
      <c r="H238" s="14"/>
      <c r="I238" s="14"/>
      <c r="J238" s="14">
        <f t="shared" si="56"/>
        <v>0</v>
      </c>
      <c r="L238" s="19"/>
    </row>
    <row r="239" spans="1:12" x14ac:dyDescent="0.25">
      <c r="A239" s="9" t="s">
        <v>17</v>
      </c>
      <c r="B239" s="14"/>
      <c r="C239" s="14"/>
      <c r="D239" s="14"/>
      <c r="E239" s="14"/>
      <c r="F239" s="14"/>
      <c r="G239" s="14"/>
      <c r="H239" s="14"/>
      <c r="I239" s="14"/>
      <c r="J239" s="14">
        <f t="shared" si="56"/>
        <v>0</v>
      </c>
      <c r="L239" s="19"/>
    </row>
    <row r="240" spans="1:12" x14ac:dyDescent="0.25">
      <c r="A240" s="9" t="s">
        <v>18</v>
      </c>
      <c r="B240" s="14"/>
      <c r="C240" s="14"/>
      <c r="D240" s="14"/>
      <c r="E240" s="14"/>
      <c r="F240" s="14"/>
      <c r="G240" s="14"/>
      <c r="H240" s="14"/>
      <c r="I240" s="14"/>
      <c r="J240" s="14">
        <f t="shared" si="56"/>
        <v>0</v>
      </c>
      <c r="L240" s="19"/>
    </row>
    <row r="241" spans="1:12" x14ac:dyDescent="0.25">
      <c r="A241" s="9" t="s">
        <v>19</v>
      </c>
      <c r="B241" s="14"/>
      <c r="C241" s="14"/>
      <c r="D241" s="14"/>
      <c r="E241" s="14"/>
      <c r="F241" s="14"/>
      <c r="G241" s="14"/>
      <c r="H241" s="14"/>
      <c r="I241" s="14"/>
      <c r="J241" s="14">
        <f t="shared" si="56"/>
        <v>0</v>
      </c>
      <c r="L241" s="19"/>
    </row>
    <row r="242" spans="1:12" x14ac:dyDescent="0.25">
      <c r="A242" s="9" t="s">
        <v>20</v>
      </c>
      <c r="B242" s="14"/>
      <c r="C242" s="14"/>
      <c r="D242" s="14"/>
      <c r="E242" s="14"/>
      <c r="F242" s="14"/>
      <c r="G242" s="14"/>
      <c r="H242" s="14"/>
      <c r="I242" s="14"/>
      <c r="J242" s="14">
        <f t="shared" si="56"/>
        <v>0</v>
      </c>
      <c r="L242" s="19"/>
    </row>
    <row r="243" spans="1:12" x14ac:dyDescent="0.25">
      <c r="A243" s="5" t="s">
        <v>21</v>
      </c>
      <c r="B243" s="14">
        <f t="shared" ref="B243:I243" si="57">SUM(B233:B242)</f>
        <v>0</v>
      </c>
      <c r="C243" s="14">
        <f t="shared" si="57"/>
        <v>0</v>
      </c>
      <c r="D243" s="14">
        <f t="shared" si="57"/>
        <v>54640.390000000007</v>
      </c>
      <c r="E243" s="14">
        <f t="shared" si="57"/>
        <v>215.16</v>
      </c>
      <c r="F243" s="14">
        <f t="shared" si="57"/>
        <v>0</v>
      </c>
      <c r="G243" s="14">
        <f t="shared" si="57"/>
        <v>0</v>
      </c>
      <c r="H243" s="14">
        <f t="shared" si="57"/>
        <v>0</v>
      </c>
      <c r="I243" s="14">
        <f t="shared" si="57"/>
        <v>0</v>
      </c>
      <c r="J243" s="14">
        <f t="shared" si="56"/>
        <v>54855.55000000001</v>
      </c>
      <c r="L243" s="19"/>
    </row>
    <row r="244" spans="1:12" x14ac:dyDescent="0.25">
      <c r="A244" s="9" t="s">
        <v>22</v>
      </c>
      <c r="B244" s="14"/>
      <c r="C244" s="14"/>
      <c r="D244" s="14"/>
      <c r="E244" s="14"/>
      <c r="F244" s="14"/>
      <c r="G244" s="14"/>
      <c r="H244" s="14"/>
      <c r="I244" s="14"/>
      <c r="J244" s="14">
        <f t="shared" si="56"/>
        <v>0</v>
      </c>
      <c r="L244" s="19"/>
    </row>
    <row r="245" spans="1:12" x14ac:dyDescent="0.25">
      <c r="A245" s="9" t="s">
        <v>23</v>
      </c>
      <c r="B245" s="14"/>
      <c r="C245" s="14"/>
      <c r="D245" s="14"/>
      <c r="E245" s="14"/>
      <c r="F245" s="14"/>
      <c r="G245" s="14"/>
      <c r="H245" s="14"/>
      <c r="I245" s="14"/>
      <c r="J245" s="14">
        <f t="shared" si="56"/>
        <v>0</v>
      </c>
      <c r="L245" s="19"/>
    </row>
    <row r="246" spans="1:12" x14ac:dyDescent="0.25">
      <c r="A246" s="5" t="s">
        <v>42</v>
      </c>
      <c r="B246" s="14">
        <f t="shared" ref="B246:J246" si="58">SUM(B244:B245)</f>
        <v>0</v>
      </c>
      <c r="C246" s="14">
        <f t="shared" si="58"/>
        <v>0</v>
      </c>
      <c r="D246" s="14">
        <f t="shared" si="58"/>
        <v>0</v>
      </c>
      <c r="E246" s="14">
        <f t="shared" si="58"/>
        <v>0</v>
      </c>
      <c r="F246" s="14">
        <f t="shared" si="58"/>
        <v>0</v>
      </c>
      <c r="G246" s="14">
        <f t="shared" si="58"/>
        <v>0</v>
      </c>
      <c r="H246" s="14">
        <f t="shared" si="58"/>
        <v>0</v>
      </c>
      <c r="I246" s="14">
        <f t="shared" si="58"/>
        <v>0</v>
      </c>
      <c r="J246" s="14">
        <f t="shared" si="58"/>
        <v>0</v>
      </c>
      <c r="L246" s="19"/>
    </row>
    <row r="247" spans="1:12" x14ac:dyDescent="0.25">
      <c r="A247" s="5" t="s">
        <v>24</v>
      </c>
      <c r="B247" s="14">
        <f t="shared" ref="B247:J247" si="59">B243+B246</f>
        <v>0</v>
      </c>
      <c r="C247" s="14">
        <f t="shared" si="59"/>
        <v>0</v>
      </c>
      <c r="D247" s="14">
        <f t="shared" si="59"/>
        <v>54640.390000000007</v>
      </c>
      <c r="E247" s="14">
        <f t="shared" si="59"/>
        <v>215.16</v>
      </c>
      <c r="F247" s="14">
        <f t="shared" si="59"/>
        <v>0</v>
      </c>
      <c r="G247" s="14">
        <f t="shared" si="59"/>
        <v>0</v>
      </c>
      <c r="H247" s="14">
        <f t="shared" si="59"/>
        <v>0</v>
      </c>
      <c r="I247" s="14">
        <f t="shared" si="59"/>
        <v>0</v>
      </c>
      <c r="J247" s="14">
        <f t="shared" si="59"/>
        <v>54855.55000000001</v>
      </c>
      <c r="L247" s="19"/>
    </row>
    <row r="248" spans="1:12" x14ac:dyDescent="0.25">
      <c r="A248" s="10" t="s">
        <v>46</v>
      </c>
      <c r="B248" s="14"/>
      <c r="C248" s="14"/>
      <c r="D248" s="14"/>
      <c r="E248" s="14"/>
      <c r="F248" s="14"/>
      <c r="G248" s="14"/>
      <c r="H248" s="14"/>
      <c r="I248" s="14"/>
      <c r="J248" s="14"/>
      <c r="L248" s="19"/>
    </row>
    <row r="249" spans="1:12" x14ac:dyDescent="0.25">
      <c r="A249" s="9" t="s">
        <v>11</v>
      </c>
      <c r="B249" s="14"/>
      <c r="C249" s="14"/>
      <c r="D249" s="14">
        <f>43731.58+3409.74+3409.74</f>
        <v>50551.06</v>
      </c>
      <c r="E249" s="14"/>
      <c r="F249" s="14"/>
      <c r="G249" s="14"/>
      <c r="H249" s="14"/>
      <c r="I249" s="14"/>
      <c r="J249" s="14">
        <f t="shared" ref="J249:J261" si="60">SUM(B249:I249)</f>
        <v>50551.06</v>
      </c>
      <c r="L249" s="19"/>
    </row>
    <row r="250" spans="1:12" x14ac:dyDescent="0.25">
      <c r="A250" s="9" t="s">
        <v>12</v>
      </c>
      <c r="B250" s="14"/>
      <c r="C250" s="14"/>
      <c r="D250" s="14">
        <v>536</v>
      </c>
      <c r="E250" s="14">
        <v>215.16</v>
      </c>
      <c r="F250" s="14"/>
      <c r="G250" s="14"/>
      <c r="H250" s="14"/>
      <c r="I250" s="14"/>
      <c r="J250" s="14">
        <f t="shared" si="60"/>
        <v>751.16</v>
      </c>
      <c r="L250" s="19"/>
    </row>
    <row r="251" spans="1:12" x14ac:dyDescent="0.25">
      <c r="A251" s="9" t="s">
        <v>13</v>
      </c>
      <c r="B251" s="14"/>
      <c r="C251" s="14"/>
      <c r="D251" s="14"/>
      <c r="E251" s="14"/>
      <c r="F251" s="14"/>
      <c r="G251" s="14"/>
      <c r="H251" s="14"/>
      <c r="I251" s="14"/>
      <c r="J251" s="14">
        <f t="shared" si="60"/>
        <v>0</v>
      </c>
      <c r="L251" s="19"/>
    </row>
    <row r="252" spans="1:12" x14ac:dyDescent="0.25">
      <c r="A252" s="9" t="s">
        <v>14</v>
      </c>
      <c r="B252" s="14"/>
      <c r="C252" s="14"/>
      <c r="D252" s="14">
        <f>138.77</f>
        <v>138.77000000000001</v>
      </c>
      <c r="E252" s="14"/>
      <c r="F252" s="14"/>
      <c r="G252" s="14"/>
      <c r="H252" s="14"/>
      <c r="I252" s="14"/>
      <c r="J252" s="14">
        <f t="shared" si="60"/>
        <v>138.77000000000001</v>
      </c>
      <c r="L252" s="19"/>
    </row>
    <row r="253" spans="1:12" x14ac:dyDescent="0.25">
      <c r="A253" s="9" t="s">
        <v>15</v>
      </c>
      <c r="B253" s="14"/>
      <c r="C253" s="14"/>
      <c r="D253" s="14"/>
      <c r="E253" s="14"/>
      <c r="F253" s="14"/>
      <c r="G253" s="14"/>
      <c r="H253" s="14"/>
      <c r="I253" s="14"/>
      <c r="J253" s="14">
        <f t="shared" si="60"/>
        <v>0</v>
      </c>
      <c r="L253" s="19"/>
    </row>
    <row r="254" spans="1:12" x14ac:dyDescent="0.25">
      <c r="A254" s="9" t="s">
        <v>16</v>
      </c>
      <c r="B254" s="14"/>
      <c r="C254" s="14"/>
      <c r="D254" s="14"/>
      <c r="E254" s="14"/>
      <c r="F254" s="14"/>
      <c r="G254" s="14"/>
      <c r="H254" s="14"/>
      <c r="I254" s="14"/>
      <c r="J254" s="14">
        <f t="shared" si="60"/>
        <v>0</v>
      </c>
      <c r="L254" s="19"/>
    </row>
    <row r="255" spans="1:12" x14ac:dyDescent="0.25">
      <c r="A255" s="9" t="s">
        <v>17</v>
      </c>
      <c r="B255" s="14"/>
      <c r="C255" s="14"/>
      <c r="D255" s="14"/>
      <c r="E255" s="14"/>
      <c r="F255" s="14"/>
      <c r="G255" s="14"/>
      <c r="H255" s="14"/>
      <c r="I255" s="14"/>
      <c r="J255" s="14">
        <f t="shared" si="60"/>
        <v>0</v>
      </c>
      <c r="L255" s="19"/>
    </row>
    <row r="256" spans="1:12" x14ac:dyDescent="0.25">
      <c r="A256" s="9" t="s">
        <v>18</v>
      </c>
      <c r="B256" s="14">
        <f>67.54+11.26</f>
        <v>78.800000000000011</v>
      </c>
      <c r="C256" s="14"/>
      <c r="D256" s="14"/>
      <c r="E256" s="14"/>
      <c r="F256" s="14"/>
      <c r="G256" s="14"/>
      <c r="H256" s="14"/>
      <c r="I256" s="14"/>
      <c r="J256" s="14">
        <f t="shared" si="60"/>
        <v>78.800000000000011</v>
      </c>
      <c r="L256" s="19"/>
    </row>
    <row r="257" spans="1:12" x14ac:dyDescent="0.25">
      <c r="A257" s="9" t="s">
        <v>19</v>
      </c>
      <c r="B257" s="14"/>
      <c r="C257" s="14"/>
      <c r="D257" s="14"/>
      <c r="E257" s="14"/>
      <c r="F257" s="14"/>
      <c r="G257" s="14"/>
      <c r="H257" s="14"/>
      <c r="I257" s="14"/>
      <c r="J257" s="14">
        <f t="shared" si="60"/>
        <v>0</v>
      </c>
      <c r="L257" s="19"/>
    </row>
    <row r="258" spans="1:12" x14ac:dyDescent="0.25">
      <c r="A258" s="9" t="s">
        <v>20</v>
      </c>
      <c r="B258" s="14"/>
      <c r="C258" s="14"/>
      <c r="D258" s="14"/>
      <c r="E258" s="14"/>
      <c r="F258" s="14"/>
      <c r="G258" s="14"/>
      <c r="H258" s="14"/>
      <c r="I258" s="14"/>
      <c r="J258" s="14">
        <f t="shared" si="60"/>
        <v>0</v>
      </c>
      <c r="L258" s="19"/>
    </row>
    <row r="259" spans="1:12" x14ac:dyDescent="0.25">
      <c r="A259" s="5" t="s">
        <v>21</v>
      </c>
      <c r="B259" s="14">
        <f t="shared" ref="B259:I259" si="61">SUM(B249:B258)</f>
        <v>78.800000000000011</v>
      </c>
      <c r="C259" s="14">
        <f t="shared" si="61"/>
        <v>0</v>
      </c>
      <c r="D259" s="14">
        <f t="shared" si="61"/>
        <v>51225.829999999994</v>
      </c>
      <c r="E259" s="14">
        <f t="shared" si="61"/>
        <v>215.16</v>
      </c>
      <c r="F259" s="14">
        <f t="shared" si="61"/>
        <v>0</v>
      </c>
      <c r="G259" s="14">
        <f t="shared" si="61"/>
        <v>0</v>
      </c>
      <c r="H259" s="14">
        <f t="shared" si="61"/>
        <v>0</v>
      </c>
      <c r="I259" s="14">
        <f t="shared" si="61"/>
        <v>0</v>
      </c>
      <c r="J259" s="14">
        <f t="shared" si="60"/>
        <v>51519.79</v>
      </c>
      <c r="L259" s="19"/>
    </row>
    <row r="260" spans="1:12" x14ac:dyDescent="0.25">
      <c r="A260" s="9" t="s">
        <v>22</v>
      </c>
      <c r="B260" s="14"/>
      <c r="C260" s="14"/>
      <c r="D260" s="14"/>
      <c r="E260" s="14"/>
      <c r="F260" s="14"/>
      <c r="G260" s="14"/>
      <c r="H260" s="14"/>
      <c r="I260" s="14"/>
      <c r="J260" s="14">
        <f t="shared" si="60"/>
        <v>0</v>
      </c>
      <c r="L260" s="19"/>
    </row>
    <row r="261" spans="1:12" x14ac:dyDescent="0.25">
      <c r="A261" s="9" t="s">
        <v>23</v>
      </c>
      <c r="B261" s="14"/>
      <c r="C261" s="14"/>
      <c r="D261" s="14"/>
      <c r="E261" s="14"/>
      <c r="F261" s="14"/>
      <c r="G261" s="14"/>
      <c r="H261" s="14"/>
      <c r="I261" s="14"/>
      <c r="J261" s="14">
        <f t="shared" si="60"/>
        <v>0</v>
      </c>
      <c r="L261" s="19"/>
    </row>
    <row r="262" spans="1:12" x14ac:dyDescent="0.25">
      <c r="A262" s="5" t="s">
        <v>42</v>
      </c>
      <c r="B262" s="14">
        <f t="shared" ref="B262:J262" si="62">SUM(B260:B261)</f>
        <v>0</v>
      </c>
      <c r="C262" s="14">
        <f t="shared" si="62"/>
        <v>0</v>
      </c>
      <c r="D262" s="14">
        <f t="shared" si="62"/>
        <v>0</v>
      </c>
      <c r="E262" s="14">
        <f t="shared" si="62"/>
        <v>0</v>
      </c>
      <c r="F262" s="14">
        <f t="shared" si="62"/>
        <v>0</v>
      </c>
      <c r="G262" s="14">
        <f t="shared" si="62"/>
        <v>0</v>
      </c>
      <c r="H262" s="14">
        <f t="shared" si="62"/>
        <v>0</v>
      </c>
      <c r="I262" s="14">
        <f t="shared" si="62"/>
        <v>0</v>
      </c>
      <c r="J262" s="14">
        <f t="shared" si="62"/>
        <v>0</v>
      </c>
      <c r="L262" s="19"/>
    </row>
    <row r="263" spans="1:12" x14ac:dyDescent="0.25">
      <c r="A263" s="5" t="s">
        <v>24</v>
      </c>
      <c r="B263" s="14">
        <f t="shared" ref="B263:J263" si="63">B259+B262</f>
        <v>78.800000000000011</v>
      </c>
      <c r="C263" s="14">
        <f t="shared" si="63"/>
        <v>0</v>
      </c>
      <c r="D263" s="14">
        <f t="shared" si="63"/>
        <v>51225.829999999994</v>
      </c>
      <c r="E263" s="14">
        <f t="shared" si="63"/>
        <v>215.16</v>
      </c>
      <c r="F263" s="14">
        <f t="shared" si="63"/>
        <v>0</v>
      </c>
      <c r="G263" s="14">
        <f t="shared" si="63"/>
        <v>0</v>
      </c>
      <c r="H263" s="14">
        <f t="shared" si="63"/>
        <v>0</v>
      </c>
      <c r="I263" s="14">
        <f t="shared" si="63"/>
        <v>0</v>
      </c>
      <c r="J263" s="14">
        <f t="shared" si="63"/>
        <v>51519.79</v>
      </c>
      <c r="L263" s="19"/>
    </row>
    <row r="264" spans="1:12" x14ac:dyDescent="0.25">
      <c r="A264" s="10" t="s">
        <v>47</v>
      </c>
      <c r="B264" s="14"/>
      <c r="C264" s="14"/>
      <c r="D264" s="14"/>
      <c r="E264" s="14"/>
      <c r="F264" s="14"/>
      <c r="G264" s="14"/>
      <c r="H264" s="14"/>
      <c r="I264" s="14"/>
      <c r="J264" s="14"/>
      <c r="L264" s="19"/>
    </row>
    <row r="265" spans="1:12" x14ac:dyDescent="0.25">
      <c r="A265" s="9" t="s">
        <v>11</v>
      </c>
      <c r="B265" s="14"/>
      <c r="C265" s="14"/>
      <c r="D265" s="14">
        <f>41658.79+5115.46+5115.46</f>
        <v>51889.71</v>
      </c>
      <c r="E265" s="14"/>
      <c r="F265" s="14"/>
      <c r="G265" s="14"/>
      <c r="H265" s="14"/>
      <c r="I265" s="14"/>
      <c r="J265" s="14">
        <f t="shared" ref="J265:J277" si="64">SUM(B265:I265)</f>
        <v>51889.71</v>
      </c>
      <c r="L265" s="19"/>
    </row>
    <row r="266" spans="1:12" x14ac:dyDescent="0.25">
      <c r="A266" s="9" t="s">
        <v>12</v>
      </c>
      <c r="B266" s="14"/>
      <c r="C266" s="14"/>
      <c r="D266" s="14">
        <v>399</v>
      </c>
      <c r="E266" s="14">
        <v>215.16</v>
      </c>
      <c r="F266" s="14"/>
      <c r="G266" s="14"/>
      <c r="H266" s="14"/>
      <c r="I266" s="14"/>
      <c r="J266" s="14">
        <f t="shared" si="64"/>
        <v>614.16</v>
      </c>
      <c r="L266" s="19"/>
    </row>
    <row r="267" spans="1:12" x14ac:dyDescent="0.25">
      <c r="A267" s="9" t="s">
        <v>13</v>
      </c>
      <c r="B267" s="14"/>
      <c r="C267" s="14"/>
      <c r="D267" s="14"/>
      <c r="E267" s="14"/>
      <c r="F267" s="14"/>
      <c r="G267" s="14"/>
      <c r="H267" s="14"/>
      <c r="I267" s="14"/>
      <c r="J267" s="14">
        <f t="shared" si="64"/>
        <v>0</v>
      </c>
      <c r="L267" s="19"/>
    </row>
    <row r="268" spans="1:12" x14ac:dyDescent="0.25">
      <c r="A268" s="9" t="s">
        <v>14</v>
      </c>
      <c r="B268" s="14"/>
      <c r="C268" s="14"/>
      <c r="D268" s="14">
        <f>138.56+297.66</f>
        <v>436.22</v>
      </c>
      <c r="E268" s="14"/>
      <c r="F268" s="14"/>
      <c r="G268" s="14"/>
      <c r="H268" s="14"/>
      <c r="I268" s="14"/>
      <c r="J268" s="14">
        <f t="shared" si="64"/>
        <v>436.22</v>
      </c>
      <c r="L268" s="19"/>
    </row>
    <row r="269" spans="1:12" x14ac:dyDescent="0.25">
      <c r="A269" s="9" t="s">
        <v>15</v>
      </c>
      <c r="B269" s="14"/>
      <c r="C269" s="14"/>
      <c r="D269" s="14"/>
      <c r="E269" s="14"/>
      <c r="F269" s="14"/>
      <c r="G269" s="14"/>
      <c r="H269" s="14"/>
      <c r="I269" s="14"/>
      <c r="J269" s="14">
        <f t="shared" si="64"/>
        <v>0</v>
      </c>
      <c r="L269" s="19"/>
    </row>
    <row r="270" spans="1:12" x14ac:dyDescent="0.25">
      <c r="A270" s="9" t="s">
        <v>16</v>
      </c>
      <c r="B270" s="14"/>
      <c r="C270" s="14"/>
      <c r="D270" s="14"/>
      <c r="E270" s="14"/>
      <c r="F270" s="14"/>
      <c r="G270" s="14"/>
      <c r="H270" s="14"/>
      <c r="I270" s="14"/>
      <c r="J270" s="14">
        <f t="shared" si="64"/>
        <v>0</v>
      </c>
      <c r="L270" s="19"/>
    </row>
    <row r="271" spans="1:12" x14ac:dyDescent="0.25">
      <c r="A271" s="9" t="s">
        <v>17</v>
      </c>
      <c r="B271" s="14"/>
      <c r="C271" s="14"/>
      <c r="D271" s="14"/>
      <c r="E271" s="14"/>
      <c r="F271" s="14"/>
      <c r="G271" s="14"/>
      <c r="H271" s="14"/>
      <c r="I271" s="14"/>
      <c r="J271" s="14">
        <f t="shared" si="64"/>
        <v>0</v>
      </c>
      <c r="L271" s="19"/>
    </row>
    <row r="272" spans="1:12" x14ac:dyDescent="0.25">
      <c r="A272" s="9" t="s">
        <v>18</v>
      </c>
      <c r="B272" s="14">
        <f>113.59+18.93</f>
        <v>132.52000000000001</v>
      </c>
      <c r="C272" s="14"/>
      <c r="D272" s="14"/>
      <c r="E272" s="14"/>
      <c r="F272" s="14"/>
      <c r="G272" s="14"/>
      <c r="H272" s="14"/>
      <c r="I272" s="14"/>
      <c r="J272" s="14">
        <f t="shared" si="64"/>
        <v>132.52000000000001</v>
      </c>
      <c r="L272" s="19"/>
    </row>
    <row r="273" spans="1:12" x14ac:dyDescent="0.25">
      <c r="A273" s="9" t="s">
        <v>19</v>
      </c>
      <c r="B273" s="14"/>
      <c r="C273" s="14"/>
      <c r="D273" s="14"/>
      <c r="E273" s="14"/>
      <c r="F273" s="14"/>
      <c r="G273" s="14"/>
      <c r="H273" s="14"/>
      <c r="I273" s="14"/>
      <c r="J273" s="14">
        <f t="shared" si="64"/>
        <v>0</v>
      </c>
      <c r="L273" s="19"/>
    </row>
    <row r="274" spans="1:12" x14ac:dyDescent="0.25">
      <c r="A274" s="9" t="s">
        <v>20</v>
      </c>
      <c r="B274" s="14"/>
      <c r="C274" s="14"/>
      <c r="D274" s="14"/>
      <c r="E274" s="14"/>
      <c r="F274" s="14"/>
      <c r="G274" s="14"/>
      <c r="H274" s="14"/>
      <c r="I274" s="14"/>
      <c r="J274" s="14">
        <f t="shared" si="64"/>
        <v>0</v>
      </c>
      <c r="L274" s="19"/>
    </row>
    <row r="275" spans="1:12" x14ac:dyDescent="0.25">
      <c r="A275" s="5" t="s">
        <v>21</v>
      </c>
      <c r="B275" s="14">
        <f t="shared" ref="B275:I275" si="65">SUM(B265:B274)</f>
        <v>132.52000000000001</v>
      </c>
      <c r="C275" s="14">
        <f t="shared" si="65"/>
        <v>0</v>
      </c>
      <c r="D275" s="14">
        <f t="shared" si="65"/>
        <v>52724.93</v>
      </c>
      <c r="E275" s="14">
        <f t="shared" si="65"/>
        <v>215.16</v>
      </c>
      <c r="F275" s="14">
        <f t="shared" si="65"/>
        <v>0</v>
      </c>
      <c r="G275" s="14">
        <f t="shared" si="65"/>
        <v>0</v>
      </c>
      <c r="H275" s="14">
        <f t="shared" si="65"/>
        <v>0</v>
      </c>
      <c r="I275" s="14">
        <f t="shared" si="65"/>
        <v>0</v>
      </c>
      <c r="J275" s="14">
        <f t="shared" si="64"/>
        <v>53072.61</v>
      </c>
      <c r="L275" s="19"/>
    </row>
    <row r="276" spans="1:12" x14ac:dyDescent="0.25">
      <c r="A276" s="9" t="s">
        <v>22</v>
      </c>
      <c r="B276" s="14"/>
      <c r="C276" s="14"/>
      <c r="D276" s="14"/>
      <c r="E276" s="14"/>
      <c r="F276" s="14"/>
      <c r="G276" s="14"/>
      <c r="H276" s="14"/>
      <c r="I276" s="14"/>
      <c r="J276" s="14">
        <f t="shared" si="64"/>
        <v>0</v>
      </c>
      <c r="L276" s="19"/>
    </row>
    <row r="277" spans="1:12" x14ac:dyDescent="0.25">
      <c r="A277" s="9" t="s">
        <v>23</v>
      </c>
      <c r="B277" s="14"/>
      <c r="C277" s="14"/>
      <c r="D277" s="14"/>
      <c r="E277" s="14"/>
      <c r="F277" s="14"/>
      <c r="G277" s="14"/>
      <c r="H277" s="14"/>
      <c r="I277" s="14"/>
      <c r="J277" s="14">
        <f t="shared" si="64"/>
        <v>0</v>
      </c>
      <c r="L277" s="19"/>
    </row>
    <row r="278" spans="1:12" x14ac:dyDescent="0.25">
      <c r="A278" s="5" t="s">
        <v>42</v>
      </c>
      <c r="B278" s="14">
        <f t="shared" ref="B278:J278" si="66">SUM(B276:B277)</f>
        <v>0</v>
      </c>
      <c r="C278" s="14">
        <f t="shared" si="66"/>
        <v>0</v>
      </c>
      <c r="D278" s="14">
        <f t="shared" si="66"/>
        <v>0</v>
      </c>
      <c r="E278" s="14">
        <f t="shared" si="66"/>
        <v>0</v>
      </c>
      <c r="F278" s="14">
        <f t="shared" si="66"/>
        <v>0</v>
      </c>
      <c r="G278" s="14">
        <f t="shared" si="66"/>
        <v>0</v>
      </c>
      <c r="H278" s="14">
        <f t="shared" si="66"/>
        <v>0</v>
      </c>
      <c r="I278" s="14">
        <f t="shared" si="66"/>
        <v>0</v>
      </c>
      <c r="J278" s="14">
        <f t="shared" si="66"/>
        <v>0</v>
      </c>
      <c r="L278" s="19"/>
    </row>
    <row r="279" spans="1:12" x14ac:dyDescent="0.25">
      <c r="A279" s="5" t="s">
        <v>24</v>
      </c>
      <c r="B279" s="14">
        <f t="shared" ref="B279:J279" si="67">B275+B278</f>
        <v>132.52000000000001</v>
      </c>
      <c r="C279" s="14">
        <f t="shared" si="67"/>
        <v>0</v>
      </c>
      <c r="D279" s="14">
        <f t="shared" si="67"/>
        <v>52724.93</v>
      </c>
      <c r="E279" s="14">
        <f t="shared" si="67"/>
        <v>215.16</v>
      </c>
      <c r="F279" s="14">
        <f t="shared" si="67"/>
        <v>0</v>
      </c>
      <c r="G279" s="14">
        <f t="shared" si="67"/>
        <v>0</v>
      </c>
      <c r="H279" s="14">
        <f t="shared" si="67"/>
        <v>0</v>
      </c>
      <c r="I279" s="14">
        <f t="shared" si="67"/>
        <v>0</v>
      </c>
      <c r="J279" s="14">
        <f t="shared" si="67"/>
        <v>53072.61</v>
      </c>
      <c r="L279" s="19"/>
    </row>
    <row r="280" spans="1:12" x14ac:dyDescent="0.25">
      <c r="A280" s="10" t="s">
        <v>48</v>
      </c>
      <c r="B280" s="14"/>
      <c r="C280" s="14"/>
      <c r="D280" s="14"/>
      <c r="E280" s="14"/>
      <c r="F280" s="14"/>
      <c r="G280" s="14"/>
      <c r="H280" s="14"/>
      <c r="I280" s="14"/>
      <c r="J280" s="14"/>
      <c r="L280" s="19"/>
    </row>
    <row r="281" spans="1:12" x14ac:dyDescent="0.25">
      <c r="A281" s="9" t="s">
        <v>11</v>
      </c>
      <c r="B281" s="14"/>
      <c r="C281" s="14"/>
      <c r="D281" s="14">
        <f>59252.86+6408.05+6408.05</f>
        <v>72068.960000000006</v>
      </c>
      <c r="E281" s="14"/>
      <c r="F281" s="14"/>
      <c r="G281" s="14"/>
      <c r="H281" s="14"/>
      <c r="I281" s="14"/>
      <c r="J281" s="14">
        <f t="shared" ref="J281:J293" si="68">SUM(B281:I281)</f>
        <v>72068.960000000006</v>
      </c>
      <c r="L281" s="19"/>
    </row>
    <row r="282" spans="1:12" x14ac:dyDescent="0.25">
      <c r="A282" s="9" t="s">
        <v>12</v>
      </c>
      <c r="B282" s="14"/>
      <c r="C282" s="14"/>
      <c r="D282" s="14"/>
      <c r="E282" s="14">
        <v>215.16</v>
      </c>
      <c r="F282" s="14"/>
      <c r="G282" s="14"/>
      <c r="H282" s="14"/>
      <c r="I282" s="14"/>
      <c r="J282" s="14">
        <f t="shared" si="68"/>
        <v>215.16</v>
      </c>
      <c r="L282" s="19"/>
    </row>
    <row r="283" spans="1:12" x14ac:dyDescent="0.25">
      <c r="A283" s="9" t="s">
        <v>13</v>
      </c>
      <c r="B283" s="14"/>
      <c r="C283" s="14"/>
      <c r="D283" s="14"/>
      <c r="E283" s="14"/>
      <c r="F283" s="14"/>
      <c r="G283" s="14"/>
      <c r="H283" s="14"/>
      <c r="I283" s="14"/>
      <c r="J283" s="14">
        <f t="shared" si="68"/>
        <v>0</v>
      </c>
      <c r="L283" s="19"/>
    </row>
    <row r="284" spans="1:12" x14ac:dyDescent="0.25">
      <c r="A284" s="9" t="s">
        <v>14</v>
      </c>
      <c r="B284" s="14">
        <f>996.76</f>
        <v>996.76</v>
      </c>
      <c r="C284" s="14"/>
      <c r="D284" s="14"/>
      <c r="E284" s="14"/>
      <c r="F284" s="14"/>
      <c r="G284" s="14"/>
      <c r="H284" s="14"/>
      <c r="I284" s="14"/>
      <c r="J284" s="14">
        <f t="shared" si="68"/>
        <v>996.76</v>
      </c>
      <c r="L284" s="19"/>
    </row>
    <row r="285" spans="1:12" x14ac:dyDescent="0.25">
      <c r="A285" s="9" t="s">
        <v>15</v>
      </c>
      <c r="B285" s="14"/>
      <c r="C285" s="14"/>
      <c r="D285" s="14"/>
      <c r="E285" s="14"/>
      <c r="F285" s="14"/>
      <c r="G285" s="14"/>
      <c r="H285" s="14"/>
      <c r="I285" s="14"/>
      <c r="J285" s="14">
        <f t="shared" si="68"/>
        <v>0</v>
      </c>
      <c r="L285" s="19"/>
    </row>
    <row r="286" spans="1:12" x14ac:dyDescent="0.25">
      <c r="A286" s="9" t="s">
        <v>16</v>
      </c>
      <c r="B286" s="14"/>
      <c r="C286" s="14"/>
      <c r="D286" s="14"/>
      <c r="E286" s="14"/>
      <c r="F286" s="14"/>
      <c r="G286" s="14"/>
      <c r="H286" s="14"/>
      <c r="I286" s="14"/>
      <c r="J286" s="14">
        <f t="shared" si="68"/>
        <v>0</v>
      </c>
      <c r="L286" s="19"/>
    </row>
    <row r="287" spans="1:12" x14ac:dyDescent="0.25">
      <c r="A287" s="9" t="s">
        <v>17</v>
      </c>
      <c r="B287" s="14"/>
      <c r="C287" s="14"/>
      <c r="D287" s="14"/>
      <c r="E287" s="14"/>
      <c r="F287" s="14"/>
      <c r="G287" s="14"/>
      <c r="H287" s="14"/>
      <c r="I287" s="14"/>
      <c r="J287" s="14">
        <f t="shared" si="68"/>
        <v>0</v>
      </c>
      <c r="L287" s="19"/>
    </row>
    <row r="288" spans="1:12" x14ac:dyDescent="0.25">
      <c r="A288" s="9" t="s">
        <v>18</v>
      </c>
      <c r="B288" s="14">
        <f>273.23+45.54</f>
        <v>318.77000000000004</v>
      </c>
      <c r="C288" s="14"/>
      <c r="D288" s="14"/>
      <c r="E288" s="14"/>
      <c r="F288" s="14"/>
      <c r="G288" s="14"/>
      <c r="H288" s="14"/>
      <c r="I288" s="14"/>
      <c r="J288" s="14">
        <f t="shared" si="68"/>
        <v>318.77000000000004</v>
      </c>
      <c r="L288" s="19"/>
    </row>
    <row r="289" spans="1:12" x14ac:dyDescent="0.25">
      <c r="A289" s="9" t="s">
        <v>19</v>
      </c>
      <c r="B289" s="14"/>
      <c r="C289" s="14"/>
      <c r="D289" s="14"/>
      <c r="E289" s="14"/>
      <c r="F289" s="14"/>
      <c r="G289" s="14"/>
      <c r="H289" s="14"/>
      <c r="I289" s="14"/>
      <c r="J289" s="14">
        <f t="shared" si="68"/>
        <v>0</v>
      </c>
      <c r="L289" s="19"/>
    </row>
    <row r="290" spans="1:12" x14ac:dyDescent="0.25">
      <c r="A290" s="9" t="s">
        <v>20</v>
      </c>
      <c r="B290" s="14"/>
      <c r="C290" s="14"/>
      <c r="D290" s="14"/>
      <c r="E290" s="14"/>
      <c r="F290" s="14"/>
      <c r="G290" s="14"/>
      <c r="H290" s="14"/>
      <c r="I290" s="14"/>
      <c r="J290" s="14">
        <f t="shared" si="68"/>
        <v>0</v>
      </c>
      <c r="L290" s="19"/>
    </row>
    <row r="291" spans="1:12" x14ac:dyDescent="0.25">
      <c r="A291" s="5" t="s">
        <v>21</v>
      </c>
      <c r="B291" s="14">
        <f t="shared" ref="B291:I291" si="69">SUM(B281:B290)</f>
        <v>1315.53</v>
      </c>
      <c r="C291" s="14">
        <f t="shared" si="69"/>
        <v>0</v>
      </c>
      <c r="D291" s="14">
        <f t="shared" si="69"/>
        <v>72068.960000000006</v>
      </c>
      <c r="E291" s="14">
        <f t="shared" si="69"/>
        <v>215.16</v>
      </c>
      <c r="F291" s="14">
        <f t="shared" si="69"/>
        <v>0</v>
      </c>
      <c r="G291" s="14">
        <f t="shared" si="69"/>
        <v>0</v>
      </c>
      <c r="H291" s="14">
        <f t="shared" si="69"/>
        <v>0</v>
      </c>
      <c r="I291" s="14">
        <f t="shared" si="69"/>
        <v>0</v>
      </c>
      <c r="J291" s="14">
        <f t="shared" si="68"/>
        <v>73599.650000000009</v>
      </c>
      <c r="L291" s="19"/>
    </row>
    <row r="292" spans="1:12" x14ac:dyDescent="0.25">
      <c r="A292" s="9" t="s">
        <v>22</v>
      </c>
      <c r="B292" s="14"/>
      <c r="C292" s="14"/>
      <c r="D292" s="14"/>
      <c r="E292" s="14"/>
      <c r="F292" s="14"/>
      <c r="G292" s="14"/>
      <c r="H292" s="14"/>
      <c r="I292" s="14"/>
      <c r="J292" s="14">
        <f t="shared" si="68"/>
        <v>0</v>
      </c>
      <c r="L292" s="19"/>
    </row>
    <row r="293" spans="1:12" x14ac:dyDescent="0.25">
      <c r="A293" s="9" t="s">
        <v>23</v>
      </c>
      <c r="B293" s="14"/>
      <c r="C293" s="14"/>
      <c r="D293" s="14"/>
      <c r="E293" s="14"/>
      <c r="F293" s="14"/>
      <c r="G293" s="14"/>
      <c r="H293" s="14"/>
      <c r="I293" s="14"/>
      <c r="J293" s="14">
        <f t="shared" si="68"/>
        <v>0</v>
      </c>
      <c r="L293" s="19"/>
    </row>
    <row r="294" spans="1:12" x14ac:dyDescent="0.25">
      <c r="A294" s="5" t="s">
        <v>42</v>
      </c>
      <c r="B294" s="14">
        <f t="shared" ref="B294:J294" si="70">SUM(B292:B293)</f>
        <v>0</v>
      </c>
      <c r="C294" s="14">
        <f t="shared" si="70"/>
        <v>0</v>
      </c>
      <c r="D294" s="14">
        <f t="shared" si="70"/>
        <v>0</v>
      </c>
      <c r="E294" s="14">
        <f t="shared" si="70"/>
        <v>0</v>
      </c>
      <c r="F294" s="14">
        <f t="shared" si="70"/>
        <v>0</v>
      </c>
      <c r="G294" s="14">
        <f t="shared" si="70"/>
        <v>0</v>
      </c>
      <c r="H294" s="14">
        <f t="shared" si="70"/>
        <v>0</v>
      </c>
      <c r="I294" s="14">
        <f t="shared" si="70"/>
        <v>0</v>
      </c>
      <c r="J294" s="14">
        <f t="shared" si="70"/>
        <v>0</v>
      </c>
      <c r="L294" s="19"/>
    </row>
    <row r="295" spans="1:12" x14ac:dyDescent="0.25">
      <c r="A295" s="5" t="s">
        <v>24</v>
      </c>
      <c r="B295" s="14">
        <f t="shared" ref="B295:J295" si="71">B291+B294</f>
        <v>1315.53</v>
      </c>
      <c r="C295" s="14">
        <f t="shared" si="71"/>
        <v>0</v>
      </c>
      <c r="D295" s="14">
        <f t="shared" si="71"/>
        <v>72068.960000000006</v>
      </c>
      <c r="E295" s="14">
        <f t="shared" si="71"/>
        <v>215.16</v>
      </c>
      <c r="F295" s="14">
        <f t="shared" si="71"/>
        <v>0</v>
      </c>
      <c r="G295" s="14">
        <f t="shared" si="71"/>
        <v>0</v>
      </c>
      <c r="H295" s="14">
        <f t="shared" si="71"/>
        <v>0</v>
      </c>
      <c r="I295" s="14">
        <f t="shared" si="71"/>
        <v>0</v>
      </c>
      <c r="J295" s="14">
        <f t="shared" si="71"/>
        <v>73599.650000000009</v>
      </c>
      <c r="L295" s="19"/>
    </row>
    <row r="296" spans="1:12" x14ac:dyDescent="0.25">
      <c r="A296" s="10" t="s">
        <v>49</v>
      </c>
      <c r="B296" s="14"/>
      <c r="C296" s="14"/>
      <c r="D296" s="14"/>
      <c r="E296" s="14"/>
      <c r="F296" s="14"/>
      <c r="G296" s="14"/>
      <c r="H296" s="14"/>
      <c r="I296" s="14"/>
      <c r="J296" s="14"/>
      <c r="L296" s="19"/>
    </row>
    <row r="297" spans="1:12" x14ac:dyDescent="0.25">
      <c r="A297" s="9" t="s">
        <v>11</v>
      </c>
      <c r="B297" s="14"/>
      <c r="C297" s="14"/>
      <c r="D297" s="14">
        <f>48391.41+2430.76+2430.76</f>
        <v>53252.930000000008</v>
      </c>
      <c r="E297" s="14"/>
      <c r="F297" s="14"/>
      <c r="G297" s="14"/>
      <c r="H297" s="14"/>
      <c r="I297" s="14"/>
      <c r="J297" s="14">
        <f t="shared" ref="J297:J309" si="72">SUM(B297:I297)</f>
        <v>53252.930000000008</v>
      </c>
      <c r="L297" s="19"/>
    </row>
    <row r="298" spans="1:12" x14ac:dyDescent="0.25">
      <c r="A298" s="9" t="s">
        <v>12</v>
      </c>
      <c r="B298" s="14"/>
      <c r="C298" s="14"/>
      <c r="D298" s="14"/>
      <c r="E298" s="14">
        <v>215.16</v>
      </c>
      <c r="F298" s="14"/>
      <c r="G298" s="14"/>
      <c r="H298" s="14"/>
      <c r="I298" s="14"/>
      <c r="J298" s="14">
        <f t="shared" si="72"/>
        <v>215.16</v>
      </c>
      <c r="L298" s="19"/>
    </row>
    <row r="299" spans="1:12" x14ac:dyDescent="0.25">
      <c r="A299" s="9" t="s">
        <v>13</v>
      </c>
      <c r="B299" s="14"/>
      <c r="C299" s="14"/>
      <c r="D299" s="14"/>
      <c r="E299" s="14"/>
      <c r="F299" s="14"/>
      <c r="G299" s="14"/>
      <c r="H299" s="14"/>
      <c r="I299" s="14"/>
      <c r="J299" s="14">
        <f t="shared" si="72"/>
        <v>0</v>
      </c>
      <c r="L299" s="19"/>
    </row>
    <row r="300" spans="1:12" x14ac:dyDescent="0.25">
      <c r="A300" s="9" t="s">
        <v>14</v>
      </c>
      <c r="B300" s="14"/>
      <c r="C300" s="14"/>
      <c r="D300" s="14"/>
      <c r="E300" s="14"/>
      <c r="F300" s="14"/>
      <c r="G300" s="14"/>
      <c r="H300" s="14"/>
      <c r="I300" s="14"/>
      <c r="J300" s="14">
        <f t="shared" si="72"/>
        <v>0</v>
      </c>
      <c r="L300" s="19"/>
    </row>
    <row r="301" spans="1:12" x14ac:dyDescent="0.25">
      <c r="A301" s="9" t="s">
        <v>15</v>
      </c>
      <c r="B301" s="14"/>
      <c r="C301" s="14"/>
      <c r="D301" s="14"/>
      <c r="E301" s="14"/>
      <c r="F301" s="14"/>
      <c r="G301" s="14"/>
      <c r="H301" s="14"/>
      <c r="I301" s="14"/>
      <c r="J301" s="14">
        <f t="shared" si="72"/>
        <v>0</v>
      </c>
      <c r="L301" s="19"/>
    </row>
    <row r="302" spans="1:12" x14ac:dyDescent="0.25">
      <c r="A302" s="9" t="s">
        <v>16</v>
      </c>
      <c r="B302" s="14"/>
      <c r="C302" s="14"/>
      <c r="D302" s="14"/>
      <c r="E302" s="14"/>
      <c r="F302" s="14"/>
      <c r="G302" s="14"/>
      <c r="H302" s="14"/>
      <c r="I302" s="14"/>
      <c r="J302" s="14">
        <f t="shared" si="72"/>
        <v>0</v>
      </c>
      <c r="L302" s="19"/>
    </row>
    <row r="303" spans="1:12" x14ac:dyDescent="0.25">
      <c r="A303" s="9" t="s">
        <v>17</v>
      </c>
      <c r="B303" s="14"/>
      <c r="C303" s="14"/>
      <c r="D303" s="14"/>
      <c r="E303" s="14"/>
      <c r="F303" s="14"/>
      <c r="G303" s="14"/>
      <c r="H303" s="14"/>
      <c r="I303" s="14"/>
      <c r="J303" s="14">
        <f t="shared" si="72"/>
        <v>0</v>
      </c>
      <c r="L303" s="19"/>
    </row>
    <row r="304" spans="1:12" x14ac:dyDescent="0.25">
      <c r="A304" s="9" t="s">
        <v>18</v>
      </c>
      <c r="B304" s="14">
        <f>30.7+5.44</f>
        <v>36.14</v>
      </c>
      <c r="C304" s="14"/>
      <c r="D304" s="14"/>
      <c r="E304" s="14"/>
      <c r="F304" s="14"/>
      <c r="G304" s="14"/>
      <c r="H304" s="14"/>
      <c r="I304" s="14"/>
      <c r="J304" s="14">
        <f t="shared" si="72"/>
        <v>36.14</v>
      </c>
      <c r="L304" s="19"/>
    </row>
    <row r="305" spans="1:12" x14ac:dyDescent="0.25">
      <c r="A305" s="9" t="s">
        <v>19</v>
      </c>
      <c r="B305" s="14"/>
      <c r="C305" s="14"/>
      <c r="D305" s="14"/>
      <c r="E305" s="14"/>
      <c r="F305" s="14"/>
      <c r="G305" s="14"/>
      <c r="H305" s="14"/>
      <c r="I305" s="14"/>
      <c r="J305" s="14">
        <f t="shared" si="72"/>
        <v>0</v>
      </c>
      <c r="L305" s="19"/>
    </row>
    <row r="306" spans="1:12" x14ac:dyDescent="0.25">
      <c r="A306" s="9" t="s">
        <v>20</v>
      </c>
      <c r="B306" s="14"/>
      <c r="C306" s="14"/>
      <c r="D306" s="14"/>
      <c r="E306" s="14"/>
      <c r="F306" s="14"/>
      <c r="G306" s="14"/>
      <c r="H306" s="14"/>
      <c r="I306" s="14"/>
      <c r="J306" s="14">
        <f t="shared" si="72"/>
        <v>0</v>
      </c>
      <c r="L306" s="19"/>
    </row>
    <row r="307" spans="1:12" x14ac:dyDescent="0.25">
      <c r="A307" s="5" t="s">
        <v>21</v>
      </c>
      <c r="B307" s="14">
        <f t="shared" ref="B307:I307" si="73">SUM(B297:B306)</f>
        <v>36.14</v>
      </c>
      <c r="C307" s="14">
        <f t="shared" si="73"/>
        <v>0</v>
      </c>
      <c r="D307" s="14">
        <f t="shared" si="73"/>
        <v>53252.930000000008</v>
      </c>
      <c r="E307" s="14">
        <f t="shared" si="73"/>
        <v>215.16</v>
      </c>
      <c r="F307" s="14">
        <f t="shared" si="73"/>
        <v>0</v>
      </c>
      <c r="G307" s="14">
        <f t="shared" si="73"/>
        <v>0</v>
      </c>
      <c r="H307" s="14">
        <f t="shared" si="73"/>
        <v>0</v>
      </c>
      <c r="I307" s="14">
        <f t="shared" si="73"/>
        <v>0</v>
      </c>
      <c r="J307" s="14">
        <f t="shared" si="72"/>
        <v>53504.23000000001</v>
      </c>
      <c r="L307" s="19"/>
    </row>
    <row r="308" spans="1:12" x14ac:dyDescent="0.25">
      <c r="A308" s="9" t="s">
        <v>22</v>
      </c>
      <c r="B308" s="14"/>
      <c r="C308" s="14"/>
      <c r="D308" s="14"/>
      <c r="E308" s="14"/>
      <c r="F308" s="14"/>
      <c r="G308" s="14"/>
      <c r="H308" s="14"/>
      <c r="I308" s="14"/>
      <c r="J308" s="14">
        <f t="shared" si="72"/>
        <v>0</v>
      </c>
      <c r="L308" s="19"/>
    </row>
    <row r="309" spans="1:12" x14ac:dyDescent="0.25">
      <c r="A309" s="9" t="s">
        <v>23</v>
      </c>
      <c r="B309" s="14"/>
      <c r="C309" s="14"/>
      <c r="D309" s="14"/>
      <c r="E309" s="14"/>
      <c r="F309" s="14"/>
      <c r="G309" s="14"/>
      <c r="H309" s="14"/>
      <c r="I309" s="14"/>
      <c r="J309" s="14">
        <f t="shared" si="72"/>
        <v>0</v>
      </c>
      <c r="L309" s="19"/>
    </row>
    <row r="310" spans="1:12" x14ac:dyDescent="0.25">
      <c r="A310" s="5" t="s">
        <v>42</v>
      </c>
      <c r="B310" s="14">
        <f t="shared" ref="B310:J310" si="74">SUM(B308:B309)</f>
        <v>0</v>
      </c>
      <c r="C310" s="14">
        <f t="shared" si="74"/>
        <v>0</v>
      </c>
      <c r="D310" s="14">
        <f t="shared" si="74"/>
        <v>0</v>
      </c>
      <c r="E310" s="14">
        <f t="shared" si="74"/>
        <v>0</v>
      </c>
      <c r="F310" s="14">
        <f t="shared" si="74"/>
        <v>0</v>
      </c>
      <c r="G310" s="14">
        <f t="shared" si="74"/>
        <v>0</v>
      </c>
      <c r="H310" s="14">
        <f t="shared" si="74"/>
        <v>0</v>
      </c>
      <c r="I310" s="14">
        <f t="shared" si="74"/>
        <v>0</v>
      </c>
      <c r="J310" s="14">
        <f t="shared" si="74"/>
        <v>0</v>
      </c>
      <c r="L310" s="19"/>
    </row>
    <row r="311" spans="1:12" x14ac:dyDescent="0.25">
      <c r="A311" s="5" t="s">
        <v>24</v>
      </c>
      <c r="B311" s="14">
        <f t="shared" ref="B311:J311" si="75">B307+B310</f>
        <v>36.14</v>
      </c>
      <c r="C311" s="14">
        <f t="shared" si="75"/>
        <v>0</v>
      </c>
      <c r="D311" s="14">
        <f t="shared" si="75"/>
        <v>53252.930000000008</v>
      </c>
      <c r="E311" s="14">
        <f t="shared" si="75"/>
        <v>215.16</v>
      </c>
      <c r="F311" s="14">
        <f t="shared" si="75"/>
        <v>0</v>
      </c>
      <c r="G311" s="14">
        <f t="shared" si="75"/>
        <v>0</v>
      </c>
      <c r="H311" s="14">
        <f t="shared" si="75"/>
        <v>0</v>
      </c>
      <c r="I311" s="14">
        <f t="shared" si="75"/>
        <v>0</v>
      </c>
      <c r="J311" s="14">
        <f t="shared" si="75"/>
        <v>53504.23000000001</v>
      </c>
      <c r="L311" s="19"/>
    </row>
    <row r="312" spans="1:12" x14ac:dyDescent="0.25">
      <c r="A312" s="10" t="s">
        <v>50</v>
      </c>
      <c r="B312" s="14"/>
      <c r="C312" s="14"/>
      <c r="D312" s="14"/>
      <c r="E312" s="14"/>
      <c r="F312" s="14"/>
      <c r="G312" s="14"/>
      <c r="H312" s="14"/>
      <c r="I312" s="14"/>
      <c r="J312" s="14"/>
      <c r="L312" s="19"/>
    </row>
    <row r="313" spans="1:12" x14ac:dyDescent="0.25">
      <c r="A313" s="9" t="s">
        <v>11</v>
      </c>
      <c r="B313" s="14"/>
      <c r="C313" s="14"/>
      <c r="D313" s="14">
        <f>88206.06+6138.55+6138.55</f>
        <v>100483.16</v>
      </c>
      <c r="E313" s="14"/>
      <c r="F313" s="14"/>
      <c r="G313" s="14"/>
      <c r="H313" s="14"/>
      <c r="I313" s="14"/>
      <c r="J313" s="14">
        <f t="shared" ref="J313:J325" si="76">SUM(B313:I313)</f>
        <v>100483.16</v>
      </c>
      <c r="L313" s="19"/>
    </row>
    <row r="314" spans="1:12" x14ac:dyDescent="0.25">
      <c r="A314" s="9" t="s">
        <v>12</v>
      </c>
      <c r="B314" s="14"/>
      <c r="C314" s="14"/>
      <c r="D314" s="14">
        <f>260</f>
        <v>260</v>
      </c>
      <c r="E314" s="14">
        <v>215.16</v>
      </c>
      <c r="F314" s="14"/>
      <c r="G314" s="14"/>
      <c r="H314" s="14"/>
      <c r="I314" s="14"/>
      <c r="J314" s="14">
        <f t="shared" si="76"/>
        <v>475.15999999999997</v>
      </c>
      <c r="L314" s="19"/>
    </row>
    <row r="315" spans="1:12" x14ac:dyDescent="0.25">
      <c r="A315" s="9" t="s">
        <v>13</v>
      </c>
      <c r="B315" s="14"/>
      <c r="C315" s="14"/>
      <c r="D315" s="14"/>
      <c r="E315" s="14"/>
      <c r="F315" s="14"/>
      <c r="G315" s="14"/>
      <c r="H315" s="14"/>
      <c r="I315" s="14"/>
      <c r="J315" s="14">
        <f t="shared" si="76"/>
        <v>0</v>
      </c>
      <c r="L315" s="19"/>
    </row>
    <row r="316" spans="1:12" x14ac:dyDescent="0.25">
      <c r="A316" s="9" t="s">
        <v>14</v>
      </c>
      <c r="B316" s="14"/>
      <c r="C316" s="14"/>
      <c r="D316" s="14">
        <f>138.77+138.56</f>
        <v>277.33000000000004</v>
      </c>
      <c r="E316" s="14"/>
      <c r="F316" s="14"/>
      <c r="G316" s="14"/>
      <c r="H316" s="14"/>
      <c r="I316" s="14"/>
      <c r="J316" s="14">
        <f t="shared" si="76"/>
        <v>277.33000000000004</v>
      </c>
      <c r="L316" s="19"/>
    </row>
    <row r="317" spans="1:12" x14ac:dyDescent="0.25">
      <c r="A317" s="9" t="s">
        <v>15</v>
      </c>
      <c r="B317" s="14"/>
      <c r="C317" s="14"/>
      <c r="D317" s="14"/>
      <c r="E317" s="14"/>
      <c r="F317" s="14"/>
      <c r="G317" s="14"/>
      <c r="H317" s="14"/>
      <c r="I317" s="14"/>
      <c r="J317" s="14">
        <f t="shared" si="76"/>
        <v>0</v>
      </c>
      <c r="L317" s="19"/>
    </row>
    <row r="318" spans="1:12" x14ac:dyDescent="0.25">
      <c r="A318" s="9" t="s">
        <v>16</v>
      </c>
      <c r="B318" s="14"/>
      <c r="C318" s="14"/>
      <c r="D318" s="14"/>
      <c r="E318" s="14"/>
      <c r="F318" s="14"/>
      <c r="G318" s="14"/>
      <c r="H318" s="14"/>
      <c r="I318" s="14"/>
      <c r="J318" s="14">
        <f t="shared" si="76"/>
        <v>0</v>
      </c>
      <c r="L318" s="19"/>
    </row>
    <row r="319" spans="1:12" x14ac:dyDescent="0.25">
      <c r="A319" s="9" t="s">
        <v>17</v>
      </c>
      <c r="B319" s="14"/>
      <c r="C319" s="14"/>
      <c r="D319" s="14"/>
      <c r="E319" s="14"/>
      <c r="F319" s="14"/>
      <c r="G319" s="14"/>
      <c r="H319" s="14"/>
      <c r="I319" s="14"/>
      <c r="J319" s="14">
        <f t="shared" si="76"/>
        <v>0</v>
      </c>
      <c r="L319" s="19"/>
    </row>
    <row r="320" spans="1:12" x14ac:dyDescent="0.25">
      <c r="A320" s="9" t="s">
        <v>18</v>
      </c>
      <c r="B320" s="14">
        <f>101.31+16.89</f>
        <v>118.2</v>
      </c>
      <c r="C320" s="14"/>
      <c r="D320" s="14"/>
      <c r="E320" s="14"/>
      <c r="F320" s="14"/>
      <c r="G320" s="14"/>
      <c r="H320" s="14"/>
      <c r="I320" s="14"/>
      <c r="J320" s="14">
        <f t="shared" si="76"/>
        <v>118.2</v>
      </c>
      <c r="L320" s="19"/>
    </row>
    <row r="321" spans="1:12" x14ac:dyDescent="0.25">
      <c r="A321" s="9" t="s">
        <v>19</v>
      </c>
      <c r="B321" s="14"/>
      <c r="C321" s="14"/>
      <c r="D321" s="14"/>
      <c r="E321" s="14"/>
      <c r="F321" s="14"/>
      <c r="G321" s="14"/>
      <c r="H321" s="14"/>
      <c r="I321" s="14"/>
      <c r="J321" s="14">
        <f t="shared" si="76"/>
        <v>0</v>
      </c>
      <c r="L321" s="19"/>
    </row>
    <row r="322" spans="1:12" x14ac:dyDescent="0.25">
      <c r="A322" s="9" t="s">
        <v>20</v>
      </c>
      <c r="B322" s="14"/>
      <c r="C322" s="14"/>
      <c r="D322" s="14"/>
      <c r="E322" s="14"/>
      <c r="F322" s="14"/>
      <c r="G322" s="14"/>
      <c r="H322" s="14"/>
      <c r="I322" s="14"/>
      <c r="J322" s="14">
        <f t="shared" si="76"/>
        <v>0</v>
      </c>
      <c r="L322" s="19"/>
    </row>
    <row r="323" spans="1:12" x14ac:dyDescent="0.25">
      <c r="A323" s="5" t="s">
        <v>21</v>
      </c>
      <c r="B323" s="14">
        <f t="shared" ref="B323:I323" si="77">SUM(B313:B322)</f>
        <v>118.2</v>
      </c>
      <c r="C323" s="14">
        <f t="shared" si="77"/>
        <v>0</v>
      </c>
      <c r="D323" s="14">
        <f t="shared" si="77"/>
        <v>101020.49</v>
      </c>
      <c r="E323" s="14">
        <f t="shared" si="77"/>
        <v>215.16</v>
      </c>
      <c r="F323" s="14">
        <f t="shared" si="77"/>
        <v>0</v>
      </c>
      <c r="G323" s="14">
        <f t="shared" si="77"/>
        <v>0</v>
      </c>
      <c r="H323" s="14">
        <f t="shared" si="77"/>
        <v>0</v>
      </c>
      <c r="I323" s="14">
        <f t="shared" si="77"/>
        <v>0</v>
      </c>
      <c r="J323" s="14">
        <f t="shared" si="76"/>
        <v>101353.85</v>
      </c>
      <c r="L323" s="19"/>
    </row>
    <row r="324" spans="1:12" x14ac:dyDescent="0.25">
      <c r="A324" s="9" t="s">
        <v>22</v>
      </c>
      <c r="B324" s="14"/>
      <c r="C324" s="14"/>
      <c r="D324" s="14"/>
      <c r="E324" s="14"/>
      <c r="F324" s="14"/>
      <c r="G324" s="14"/>
      <c r="H324" s="14"/>
      <c r="I324" s="14"/>
      <c r="J324" s="14">
        <f t="shared" si="76"/>
        <v>0</v>
      </c>
      <c r="L324" s="19"/>
    </row>
    <row r="325" spans="1:12" x14ac:dyDescent="0.25">
      <c r="A325" s="9" t="s">
        <v>23</v>
      </c>
      <c r="B325" s="14"/>
      <c r="C325" s="14"/>
      <c r="D325" s="14"/>
      <c r="E325" s="14"/>
      <c r="F325" s="14"/>
      <c r="G325" s="14"/>
      <c r="H325" s="14"/>
      <c r="I325" s="14"/>
      <c r="J325" s="14">
        <f t="shared" si="76"/>
        <v>0</v>
      </c>
      <c r="L325" s="19"/>
    </row>
    <row r="326" spans="1:12" x14ac:dyDescent="0.25">
      <c r="A326" s="5" t="s">
        <v>42</v>
      </c>
      <c r="B326" s="14">
        <f t="shared" ref="B326:J326" si="78">SUM(B324:B325)</f>
        <v>0</v>
      </c>
      <c r="C326" s="14">
        <f t="shared" si="78"/>
        <v>0</v>
      </c>
      <c r="D326" s="14">
        <f t="shared" si="78"/>
        <v>0</v>
      </c>
      <c r="E326" s="14">
        <f t="shared" si="78"/>
        <v>0</v>
      </c>
      <c r="F326" s="14">
        <f t="shared" si="78"/>
        <v>0</v>
      </c>
      <c r="G326" s="14">
        <f t="shared" si="78"/>
        <v>0</v>
      </c>
      <c r="H326" s="14">
        <f t="shared" si="78"/>
        <v>0</v>
      </c>
      <c r="I326" s="14">
        <f t="shared" si="78"/>
        <v>0</v>
      </c>
      <c r="J326" s="14">
        <f t="shared" si="78"/>
        <v>0</v>
      </c>
      <c r="L326" s="19"/>
    </row>
    <row r="327" spans="1:12" x14ac:dyDescent="0.25">
      <c r="A327" s="5" t="s">
        <v>24</v>
      </c>
      <c r="B327" s="14">
        <f t="shared" ref="B327:J327" si="79">B323+B326</f>
        <v>118.2</v>
      </c>
      <c r="C327" s="14">
        <f t="shared" si="79"/>
        <v>0</v>
      </c>
      <c r="D327" s="14">
        <f t="shared" si="79"/>
        <v>101020.49</v>
      </c>
      <c r="E327" s="14">
        <f t="shared" si="79"/>
        <v>215.16</v>
      </c>
      <c r="F327" s="14">
        <f t="shared" si="79"/>
        <v>0</v>
      </c>
      <c r="G327" s="14">
        <f t="shared" si="79"/>
        <v>0</v>
      </c>
      <c r="H327" s="14">
        <f t="shared" si="79"/>
        <v>0</v>
      </c>
      <c r="I327" s="14">
        <f t="shared" si="79"/>
        <v>0</v>
      </c>
      <c r="J327" s="14">
        <f t="shared" si="79"/>
        <v>101353.85</v>
      </c>
      <c r="L327" s="19"/>
    </row>
    <row r="328" spans="1:12" x14ac:dyDescent="0.25">
      <c r="A328" s="10" t="s">
        <v>51</v>
      </c>
      <c r="B328" s="14"/>
      <c r="C328" s="14"/>
      <c r="D328" s="14"/>
      <c r="E328" s="14"/>
      <c r="F328" s="14"/>
      <c r="G328" s="14"/>
      <c r="H328" s="14"/>
      <c r="I328" s="14"/>
      <c r="J328" s="14"/>
      <c r="L328" s="19"/>
    </row>
    <row r="329" spans="1:12" x14ac:dyDescent="0.25">
      <c r="A329" s="9" t="s">
        <v>11</v>
      </c>
      <c r="B329" s="14"/>
      <c r="C329" s="14"/>
      <c r="D329" s="14">
        <f>47135.82+5237.46+5237.46</f>
        <v>57610.74</v>
      </c>
      <c r="E329" s="14"/>
      <c r="F329" s="14"/>
      <c r="G329" s="14"/>
      <c r="H329" s="14"/>
      <c r="I329" s="14"/>
      <c r="J329" s="14">
        <f t="shared" ref="J329:J341" si="80">SUM(B329:I329)</f>
        <v>57610.74</v>
      </c>
      <c r="L329" s="19"/>
    </row>
    <row r="330" spans="1:12" x14ac:dyDescent="0.25">
      <c r="A330" s="9" t="s">
        <v>12</v>
      </c>
      <c r="B330" s="14"/>
      <c r="C330" s="14"/>
      <c r="D330" s="14"/>
      <c r="E330" s="14">
        <v>215.16</v>
      </c>
      <c r="F330" s="14"/>
      <c r="G330" s="14"/>
      <c r="H330" s="14"/>
      <c r="I330" s="14"/>
      <c r="J330" s="14">
        <f t="shared" si="80"/>
        <v>215.16</v>
      </c>
      <c r="L330" s="19"/>
    </row>
    <row r="331" spans="1:12" x14ac:dyDescent="0.25">
      <c r="A331" s="9" t="s">
        <v>13</v>
      </c>
      <c r="B331" s="14"/>
      <c r="C331" s="14"/>
      <c r="D331" s="14"/>
      <c r="E331" s="14"/>
      <c r="F331" s="14"/>
      <c r="G331" s="14"/>
      <c r="H331" s="14"/>
      <c r="I331" s="14"/>
      <c r="J331" s="14">
        <f t="shared" si="80"/>
        <v>0</v>
      </c>
      <c r="L331" s="19"/>
    </row>
    <row r="332" spans="1:12" x14ac:dyDescent="0.25">
      <c r="A332" s="9" t="s">
        <v>14</v>
      </c>
      <c r="B332" s="14"/>
      <c r="C332" s="14"/>
      <c r="D332" s="14">
        <f>138.77</f>
        <v>138.77000000000001</v>
      </c>
      <c r="E332" s="14"/>
      <c r="F332" s="14"/>
      <c r="G332" s="14"/>
      <c r="H332" s="14"/>
      <c r="I332" s="14"/>
      <c r="J332" s="14">
        <f t="shared" si="80"/>
        <v>138.77000000000001</v>
      </c>
      <c r="L332" s="19"/>
    </row>
    <row r="333" spans="1:12" x14ac:dyDescent="0.25">
      <c r="A333" s="9" t="s">
        <v>15</v>
      </c>
      <c r="B333" s="14"/>
      <c r="C333" s="14"/>
      <c r="D333" s="14"/>
      <c r="E333" s="14"/>
      <c r="F333" s="14"/>
      <c r="G333" s="14"/>
      <c r="H333" s="14"/>
      <c r="I333" s="14"/>
      <c r="J333" s="14">
        <f t="shared" si="80"/>
        <v>0</v>
      </c>
      <c r="L333" s="19"/>
    </row>
    <row r="334" spans="1:12" x14ac:dyDescent="0.25">
      <c r="A334" s="9" t="s">
        <v>16</v>
      </c>
      <c r="B334" s="14"/>
      <c r="C334" s="14"/>
      <c r="D334" s="14"/>
      <c r="E334" s="14"/>
      <c r="F334" s="14"/>
      <c r="G334" s="14"/>
      <c r="H334" s="14"/>
      <c r="I334" s="14"/>
      <c r="J334" s="14">
        <f t="shared" si="80"/>
        <v>0</v>
      </c>
      <c r="L334" s="19"/>
    </row>
    <row r="335" spans="1:12" x14ac:dyDescent="0.25">
      <c r="A335" s="9" t="s">
        <v>17</v>
      </c>
      <c r="B335" s="14"/>
      <c r="C335" s="14"/>
      <c r="D335" s="14"/>
      <c r="E335" s="14"/>
      <c r="F335" s="14"/>
      <c r="G335" s="14"/>
      <c r="H335" s="14"/>
      <c r="I335" s="14"/>
      <c r="J335" s="14">
        <f t="shared" si="80"/>
        <v>0</v>
      </c>
      <c r="L335" s="19"/>
    </row>
    <row r="336" spans="1:12" x14ac:dyDescent="0.25">
      <c r="A336" s="9" t="s">
        <v>18</v>
      </c>
      <c r="B336" s="14">
        <f>227.18+37.86</f>
        <v>265.04000000000002</v>
      </c>
      <c r="C336" s="14"/>
      <c r="D336" s="14"/>
      <c r="E336" s="14"/>
      <c r="F336" s="14"/>
      <c r="G336" s="14"/>
      <c r="H336" s="14"/>
      <c r="I336" s="14"/>
      <c r="J336" s="14">
        <f t="shared" si="80"/>
        <v>265.04000000000002</v>
      </c>
      <c r="L336" s="19"/>
    </row>
    <row r="337" spans="1:12" x14ac:dyDescent="0.25">
      <c r="A337" s="9" t="s">
        <v>19</v>
      </c>
      <c r="B337" s="14"/>
      <c r="C337" s="14"/>
      <c r="D337" s="14"/>
      <c r="E337" s="14"/>
      <c r="F337" s="14"/>
      <c r="G337" s="14"/>
      <c r="H337" s="14"/>
      <c r="I337" s="14"/>
      <c r="J337" s="14">
        <f t="shared" si="80"/>
        <v>0</v>
      </c>
      <c r="L337" s="19"/>
    </row>
    <row r="338" spans="1:12" x14ac:dyDescent="0.25">
      <c r="A338" s="9" t="s">
        <v>20</v>
      </c>
      <c r="B338" s="14"/>
      <c r="C338" s="14"/>
      <c r="D338" s="14"/>
      <c r="E338" s="14"/>
      <c r="F338" s="14"/>
      <c r="G338" s="14"/>
      <c r="H338" s="14"/>
      <c r="I338" s="14"/>
      <c r="J338" s="14">
        <f t="shared" si="80"/>
        <v>0</v>
      </c>
      <c r="L338" s="19"/>
    </row>
    <row r="339" spans="1:12" x14ac:dyDescent="0.25">
      <c r="A339" s="5" t="s">
        <v>21</v>
      </c>
      <c r="B339" s="14">
        <f t="shared" ref="B339:I339" si="81">SUM(B329:B338)</f>
        <v>265.04000000000002</v>
      </c>
      <c r="C339" s="14">
        <f t="shared" si="81"/>
        <v>0</v>
      </c>
      <c r="D339" s="14">
        <f t="shared" si="81"/>
        <v>57749.509999999995</v>
      </c>
      <c r="E339" s="14">
        <f t="shared" si="81"/>
        <v>215.16</v>
      </c>
      <c r="F339" s="14">
        <f t="shared" si="81"/>
        <v>0</v>
      </c>
      <c r="G339" s="14">
        <f t="shared" si="81"/>
        <v>0</v>
      </c>
      <c r="H339" s="14">
        <f t="shared" si="81"/>
        <v>0</v>
      </c>
      <c r="I339" s="14">
        <f t="shared" si="81"/>
        <v>0</v>
      </c>
      <c r="J339" s="14">
        <f t="shared" si="80"/>
        <v>58229.71</v>
      </c>
      <c r="L339" s="19"/>
    </row>
    <row r="340" spans="1:12" x14ac:dyDescent="0.25">
      <c r="A340" s="9" t="s">
        <v>22</v>
      </c>
      <c r="B340" s="14"/>
      <c r="C340" s="14"/>
      <c r="D340" s="14"/>
      <c r="E340" s="14"/>
      <c r="F340" s="14"/>
      <c r="G340" s="14"/>
      <c r="H340" s="14"/>
      <c r="I340" s="14"/>
      <c r="J340" s="14">
        <f t="shared" si="80"/>
        <v>0</v>
      </c>
      <c r="L340" s="19"/>
    </row>
    <row r="341" spans="1:12" x14ac:dyDescent="0.25">
      <c r="A341" s="9" t="s">
        <v>23</v>
      </c>
      <c r="B341" s="14"/>
      <c r="C341" s="14"/>
      <c r="D341" s="14"/>
      <c r="E341" s="14"/>
      <c r="F341" s="14"/>
      <c r="G341" s="14"/>
      <c r="H341" s="14"/>
      <c r="I341" s="14"/>
      <c r="J341" s="14">
        <f t="shared" si="80"/>
        <v>0</v>
      </c>
      <c r="L341" s="19"/>
    </row>
    <row r="342" spans="1:12" x14ac:dyDescent="0.25">
      <c r="A342" s="5" t="s">
        <v>42</v>
      </c>
      <c r="B342" s="14">
        <f t="shared" ref="B342:J342" si="82">SUM(B340:B341)</f>
        <v>0</v>
      </c>
      <c r="C342" s="14">
        <f t="shared" si="82"/>
        <v>0</v>
      </c>
      <c r="D342" s="14">
        <f t="shared" si="82"/>
        <v>0</v>
      </c>
      <c r="E342" s="14">
        <f t="shared" si="82"/>
        <v>0</v>
      </c>
      <c r="F342" s="14">
        <f t="shared" si="82"/>
        <v>0</v>
      </c>
      <c r="G342" s="14">
        <f t="shared" si="82"/>
        <v>0</v>
      </c>
      <c r="H342" s="14">
        <f t="shared" si="82"/>
        <v>0</v>
      </c>
      <c r="I342" s="14">
        <f t="shared" si="82"/>
        <v>0</v>
      </c>
      <c r="J342" s="14">
        <f t="shared" si="82"/>
        <v>0</v>
      </c>
      <c r="L342" s="19"/>
    </row>
    <row r="343" spans="1:12" x14ac:dyDescent="0.25">
      <c r="A343" s="5" t="s">
        <v>24</v>
      </c>
      <c r="B343" s="14">
        <f t="shared" ref="B343:J343" si="83">B339+B342</f>
        <v>265.04000000000002</v>
      </c>
      <c r="C343" s="14">
        <f t="shared" si="83"/>
        <v>0</v>
      </c>
      <c r="D343" s="14">
        <f t="shared" si="83"/>
        <v>57749.509999999995</v>
      </c>
      <c r="E343" s="14">
        <f t="shared" si="83"/>
        <v>215.16</v>
      </c>
      <c r="F343" s="14">
        <f t="shared" si="83"/>
        <v>0</v>
      </c>
      <c r="G343" s="14">
        <f t="shared" si="83"/>
        <v>0</v>
      </c>
      <c r="H343" s="14">
        <f t="shared" si="83"/>
        <v>0</v>
      </c>
      <c r="I343" s="14">
        <f t="shared" si="83"/>
        <v>0</v>
      </c>
      <c r="J343" s="14">
        <f t="shared" si="83"/>
        <v>58229.71</v>
      </c>
      <c r="L343" s="19"/>
    </row>
    <row r="344" spans="1:12" x14ac:dyDescent="0.25">
      <c r="A344" s="10" t="s">
        <v>52</v>
      </c>
      <c r="B344" s="14"/>
      <c r="C344" s="14"/>
      <c r="D344" s="14"/>
      <c r="E344" s="14"/>
      <c r="F344" s="14"/>
      <c r="G344" s="14"/>
      <c r="H344" s="14"/>
      <c r="I344" s="14"/>
      <c r="J344" s="14"/>
      <c r="L344" s="19"/>
    </row>
    <row r="345" spans="1:12" x14ac:dyDescent="0.25">
      <c r="A345" s="9" t="s">
        <v>11</v>
      </c>
      <c r="B345" s="14"/>
      <c r="C345" s="14"/>
      <c r="D345" s="14">
        <f>45717.64+5238.7+5238.7</f>
        <v>56195.039999999994</v>
      </c>
      <c r="E345" s="14"/>
      <c r="F345" s="14"/>
      <c r="G345" s="14"/>
      <c r="H345" s="14"/>
      <c r="I345" s="14"/>
      <c r="J345" s="14">
        <f t="shared" ref="J345:J357" si="84">SUM(B345:I345)</f>
        <v>56195.039999999994</v>
      </c>
      <c r="L345" s="19"/>
    </row>
    <row r="346" spans="1:12" x14ac:dyDescent="0.25">
      <c r="A346" s="9" t="s">
        <v>12</v>
      </c>
      <c r="B346" s="14"/>
      <c r="C346" s="14"/>
      <c r="D346" s="14">
        <v>399</v>
      </c>
      <c r="E346" s="14">
        <v>215.16</v>
      </c>
      <c r="F346" s="14"/>
      <c r="G346" s="14"/>
      <c r="H346" s="14"/>
      <c r="I346" s="14"/>
      <c r="J346" s="14">
        <f t="shared" si="84"/>
        <v>614.16</v>
      </c>
      <c r="L346" s="19"/>
    </row>
    <row r="347" spans="1:12" x14ac:dyDescent="0.25">
      <c r="A347" s="9" t="s">
        <v>13</v>
      </c>
      <c r="B347" s="14"/>
      <c r="C347" s="14"/>
      <c r="D347" s="14"/>
      <c r="E347" s="14"/>
      <c r="F347" s="14"/>
      <c r="G347" s="14"/>
      <c r="H347" s="14"/>
      <c r="I347" s="14"/>
      <c r="J347" s="14">
        <f t="shared" si="84"/>
        <v>0</v>
      </c>
      <c r="L347" s="19"/>
    </row>
    <row r="348" spans="1:12" x14ac:dyDescent="0.25">
      <c r="A348" s="9" t="s">
        <v>14</v>
      </c>
      <c r="B348" s="14"/>
      <c r="C348" s="14"/>
      <c r="D348" s="14">
        <f>138.56+297.66</f>
        <v>436.22</v>
      </c>
      <c r="E348" s="14"/>
      <c r="F348" s="14"/>
      <c r="G348" s="14"/>
      <c r="H348" s="14"/>
      <c r="I348" s="14"/>
      <c r="J348" s="14">
        <f t="shared" si="84"/>
        <v>436.22</v>
      </c>
      <c r="L348" s="19"/>
    </row>
    <row r="349" spans="1:12" x14ac:dyDescent="0.25">
      <c r="A349" s="9" t="s">
        <v>15</v>
      </c>
      <c r="B349" s="14"/>
      <c r="C349" s="14"/>
      <c r="D349" s="14"/>
      <c r="E349" s="14"/>
      <c r="F349" s="14"/>
      <c r="G349" s="14"/>
      <c r="H349" s="14"/>
      <c r="I349" s="14"/>
      <c r="J349" s="14">
        <f t="shared" si="84"/>
        <v>0</v>
      </c>
      <c r="L349" s="19"/>
    </row>
    <row r="350" spans="1:12" x14ac:dyDescent="0.25">
      <c r="A350" s="9" t="s">
        <v>16</v>
      </c>
      <c r="B350" s="14"/>
      <c r="C350" s="14"/>
      <c r="D350" s="14"/>
      <c r="E350" s="14"/>
      <c r="F350" s="14"/>
      <c r="G350" s="14"/>
      <c r="H350" s="14"/>
      <c r="I350" s="14"/>
      <c r="J350" s="14">
        <f t="shared" si="84"/>
        <v>0</v>
      </c>
      <c r="L350" s="19"/>
    </row>
    <row r="351" spans="1:12" x14ac:dyDescent="0.25">
      <c r="A351" s="9" t="s">
        <v>17</v>
      </c>
      <c r="B351" s="14"/>
      <c r="C351" s="14"/>
      <c r="D351" s="14"/>
      <c r="E351" s="14"/>
      <c r="F351" s="14"/>
      <c r="G351" s="14"/>
      <c r="H351" s="14"/>
      <c r="I351" s="14"/>
      <c r="J351" s="14">
        <f t="shared" si="84"/>
        <v>0</v>
      </c>
      <c r="L351" s="19"/>
    </row>
    <row r="352" spans="1:12" x14ac:dyDescent="0.25">
      <c r="A352" s="9" t="s">
        <v>18</v>
      </c>
      <c r="B352" s="14">
        <f>147.36+24.56</f>
        <v>171.92000000000002</v>
      </c>
      <c r="C352" s="14"/>
      <c r="D352" s="14"/>
      <c r="E352" s="14"/>
      <c r="F352" s="14"/>
      <c r="G352" s="14"/>
      <c r="H352" s="14"/>
      <c r="I352" s="14"/>
      <c r="J352" s="14">
        <f t="shared" si="84"/>
        <v>171.92000000000002</v>
      </c>
      <c r="L352" s="19"/>
    </row>
    <row r="353" spans="1:12" x14ac:dyDescent="0.25">
      <c r="A353" s="9" t="s">
        <v>19</v>
      </c>
      <c r="B353" s="14"/>
      <c r="C353" s="14"/>
      <c r="D353" s="14"/>
      <c r="E353" s="14"/>
      <c r="F353" s="14"/>
      <c r="G353" s="14"/>
      <c r="H353" s="14"/>
      <c r="I353" s="14"/>
      <c r="J353" s="14">
        <f t="shared" si="84"/>
        <v>0</v>
      </c>
      <c r="L353" s="19"/>
    </row>
    <row r="354" spans="1:12" x14ac:dyDescent="0.25">
      <c r="A354" s="9" t="s">
        <v>20</v>
      </c>
      <c r="B354" s="14"/>
      <c r="C354" s="14"/>
      <c r="D354" s="14"/>
      <c r="E354" s="14"/>
      <c r="F354" s="14"/>
      <c r="G354" s="14"/>
      <c r="H354" s="14"/>
      <c r="I354" s="14"/>
      <c r="J354" s="14">
        <f t="shared" si="84"/>
        <v>0</v>
      </c>
      <c r="L354" s="19"/>
    </row>
    <row r="355" spans="1:12" x14ac:dyDescent="0.25">
      <c r="A355" s="5" t="s">
        <v>21</v>
      </c>
      <c r="B355" s="14">
        <f t="shared" ref="B355:I355" si="85">SUM(B345:B354)</f>
        <v>171.92000000000002</v>
      </c>
      <c r="C355" s="14">
        <f t="shared" si="85"/>
        <v>0</v>
      </c>
      <c r="D355" s="14">
        <f t="shared" si="85"/>
        <v>57030.259999999995</v>
      </c>
      <c r="E355" s="14">
        <f t="shared" si="85"/>
        <v>215.16</v>
      </c>
      <c r="F355" s="14">
        <f t="shared" si="85"/>
        <v>0</v>
      </c>
      <c r="G355" s="14">
        <f t="shared" si="85"/>
        <v>0</v>
      </c>
      <c r="H355" s="14">
        <f t="shared" si="85"/>
        <v>0</v>
      </c>
      <c r="I355" s="14">
        <f t="shared" si="85"/>
        <v>0</v>
      </c>
      <c r="J355" s="14">
        <f t="shared" si="84"/>
        <v>57417.34</v>
      </c>
      <c r="L355" s="19"/>
    </row>
    <row r="356" spans="1:12" x14ac:dyDescent="0.25">
      <c r="A356" s="9" t="s">
        <v>22</v>
      </c>
      <c r="B356" s="14"/>
      <c r="C356" s="14"/>
      <c r="D356" s="14"/>
      <c r="E356" s="14"/>
      <c r="F356" s="14"/>
      <c r="G356" s="14"/>
      <c r="H356" s="14"/>
      <c r="I356" s="14"/>
      <c r="J356" s="14">
        <f t="shared" si="84"/>
        <v>0</v>
      </c>
      <c r="L356" s="19"/>
    </row>
    <row r="357" spans="1:12" x14ac:dyDescent="0.25">
      <c r="A357" s="9" t="s">
        <v>23</v>
      </c>
      <c r="B357" s="14"/>
      <c r="C357" s="14"/>
      <c r="D357" s="14"/>
      <c r="E357" s="14"/>
      <c r="F357" s="14"/>
      <c r="G357" s="14"/>
      <c r="H357" s="14"/>
      <c r="I357" s="14"/>
      <c r="J357" s="14">
        <f t="shared" si="84"/>
        <v>0</v>
      </c>
      <c r="L357" s="19"/>
    </row>
    <row r="358" spans="1:12" x14ac:dyDescent="0.25">
      <c r="A358" s="5" t="s">
        <v>42</v>
      </c>
      <c r="B358" s="14">
        <f t="shared" ref="B358:J358" si="86">SUM(B356:B357)</f>
        <v>0</v>
      </c>
      <c r="C358" s="14">
        <f t="shared" si="86"/>
        <v>0</v>
      </c>
      <c r="D358" s="14">
        <f t="shared" si="86"/>
        <v>0</v>
      </c>
      <c r="E358" s="14">
        <f t="shared" si="86"/>
        <v>0</v>
      </c>
      <c r="F358" s="14">
        <f t="shared" si="86"/>
        <v>0</v>
      </c>
      <c r="G358" s="14">
        <f t="shared" si="86"/>
        <v>0</v>
      </c>
      <c r="H358" s="14">
        <f t="shared" si="86"/>
        <v>0</v>
      </c>
      <c r="I358" s="14">
        <f t="shared" si="86"/>
        <v>0</v>
      </c>
      <c r="J358" s="14">
        <f t="shared" si="86"/>
        <v>0</v>
      </c>
      <c r="L358" s="19"/>
    </row>
    <row r="359" spans="1:12" x14ac:dyDescent="0.25">
      <c r="A359" s="5" t="s">
        <v>24</v>
      </c>
      <c r="B359" s="14">
        <f t="shared" ref="B359:J359" si="87">B355+B358</f>
        <v>171.92000000000002</v>
      </c>
      <c r="C359" s="14">
        <f t="shared" si="87"/>
        <v>0</v>
      </c>
      <c r="D359" s="14">
        <f t="shared" si="87"/>
        <v>57030.259999999995</v>
      </c>
      <c r="E359" s="14">
        <f t="shared" si="87"/>
        <v>215.16</v>
      </c>
      <c r="F359" s="14">
        <f t="shared" si="87"/>
        <v>0</v>
      </c>
      <c r="G359" s="14">
        <f t="shared" si="87"/>
        <v>0</v>
      </c>
      <c r="H359" s="14">
        <f t="shared" si="87"/>
        <v>0</v>
      </c>
      <c r="I359" s="14">
        <f t="shared" si="87"/>
        <v>0</v>
      </c>
      <c r="J359" s="14">
        <f t="shared" si="87"/>
        <v>57417.34</v>
      </c>
      <c r="L359" s="19"/>
    </row>
    <row r="360" spans="1:12" x14ac:dyDescent="0.25">
      <c r="A360" s="10" t="s">
        <v>53</v>
      </c>
      <c r="B360" s="14"/>
      <c r="C360" s="14"/>
      <c r="D360" s="14"/>
      <c r="E360" s="14"/>
      <c r="F360" s="14"/>
      <c r="G360" s="14"/>
      <c r="H360" s="14"/>
      <c r="I360" s="14"/>
      <c r="J360" s="14"/>
      <c r="L360" s="19"/>
    </row>
    <row r="361" spans="1:12" x14ac:dyDescent="0.25">
      <c r="A361" s="9" t="s">
        <v>11</v>
      </c>
      <c r="B361" s="14"/>
      <c r="C361" s="14"/>
      <c r="D361" s="14">
        <f>51501.97+17991.39+7000</f>
        <v>76493.36</v>
      </c>
      <c r="E361" s="14"/>
      <c r="F361" s="14"/>
      <c r="G361" s="14"/>
      <c r="H361" s="14"/>
      <c r="I361" s="14"/>
      <c r="J361" s="14">
        <f t="shared" ref="J361:J373" si="88">SUM(B361:I361)</f>
        <v>76493.36</v>
      </c>
      <c r="L361" s="19"/>
    </row>
    <row r="362" spans="1:12" x14ac:dyDescent="0.25">
      <c r="A362" s="9" t="s">
        <v>12</v>
      </c>
      <c r="B362" s="14"/>
      <c r="C362" s="14"/>
      <c r="D362" s="14"/>
      <c r="E362" s="14">
        <v>215.16</v>
      </c>
      <c r="F362" s="14"/>
      <c r="G362" s="14"/>
      <c r="H362" s="14"/>
      <c r="I362" s="14"/>
      <c r="J362" s="14">
        <f t="shared" si="88"/>
        <v>215.16</v>
      </c>
      <c r="L362" s="19"/>
    </row>
    <row r="363" spans="1:12" x14ac:dyDescent="0.25">
      <c r="A363" s="9" t="s">
        <v>13</v>
      </c>
      <c r="B363" s="14"/>
      <c r="C363" s="14"/>
      <c r="D363" s="14"/>
      <c r="E363" s="14"/>
      <c r="F363" s="14"/>
      <c r="G363" s="14"/>
      <c r="H363" s="14"/>
      <c r="I363" s="14"/>
      <c r="J363" s="14">
        <f t="shared" si="88"/>
        <v>0</v>
      </c>
      <c r="L363" s="19"/>
    </row>
    <row r="364" spans="1:12" x14ac:dyDescent="0.25">
      <c r="A364" s="9" t="s">
        <v>14</v>
      </c>
      <c r="B364" s="14"/>
      <c r="C364" s="14"/>
      <c r="D364" s="14">
        <f>138.56</f>
        <v>138.56</v>
      </c>
      <c r="E364" s="14"/>
      <c r="F364" s="14"/>
      <c r="G364" s="14"/>
      <c r="H364" s="14"/>
      <c r="I364" s="14"/>
      <c r="J364" s="14">
        <f t="shared" si="88"/>
        <v>138.56</v>
      </c>
      <c r="L364" s="19"/>
    </row>
    <row r="365" spans="1:12" x14ac:dyDescent="0.25">
      <c r="A365" s="9" t="s">
        <v>15</v>
      </c>
      <c r="B365" s="14"/>
      <c r="C365" s="14"/>
      <c r="D365" s="14"/>
      <c r="E365" s="14"/>
      <c r="F365" s="14"/>
      <c r="G365" s="14"/>
      <c r="H365" s="14"/>
      <c r="I365" s="14"/>
      <c r="J365" s="14">
        <f t="shared" si="88"/>
        <v>0</v>
      </c>
      <c r="L365" s="19"/>
    </row>
    <row r="366" spans="1:12" x14ac:dyDescent="0.25">
      <c r="A366" s="9" t="s">
        <v>16</v>
      </c>
      <c r="B366" s="14"/>
      <c r="C366" s="14"/>
      <c r="D366" s="14"/>
      <c r="E366" s="14"/>
      <c r="F366" s="14"/>
      <c r="G366" s="14"/>
      <c r="H366" s="14"/>
      <c r="I366" s="14"/>
      <c r="J366" s="14">
        <f t="shared" si="88"/>
        <v>0</v>
      </c>
      <c r="L366" s="19"/>
    </row>
    <row r="367" spans="1:12" x14ac:dyDescent="0.25">
      <c r="A367" s="9" t="s">
        <v>17</v>
      </c>
      <c r="B367" s="14"/>
      <c r="C367" s="14"/>
      <c r="D367" s="14"/>
      <c r="E367" s="14"/>
      <c r="F367" s="14"/>
      <c r="G367" s="14"/>
      <c r="H367" s="14"/>
      <c r="I367" s="14"/>
      <c r="J367" s="14">
        <f t="shared" si="88"/>
        <v>0</v>
      </c>
      <c r="L367" s="19"/>
    </row>
    <row r="368" spans="1:12" x14ac:dyDescent="0.25">
      <c r="A368" s="9" t="s">
        <v>18</v>
      </c>
      <c r="B368" s="14">
        <f>383.75+63.96</f>
        <v>447.71</v>
      </c>
      <c r="C368" s="14"/>
      <c r="D368" s="14"/>
      <c r="E368" s="14"/>
      <c r="F368" s="14"/>
      <c r="G368" s="14"/>
      <c r="H368" s="14"/>
      <c r="I368" s="14"/>
      <c r="J368" s="14">
        <f t="shared" si="88"/>
        <v>447.71</v>
      </c>
      <c r="L368" s="19"/>
    </row>
    <row r="369" spans="1:12" x14ac:dyDescent="0.25">
      <c r="A369" s="9" t="s">
        <v>19</v>
      </c>
      <c r="B369" s="14"/>
      <c r="C369" s="14"/>
      <c r="D369" s="14"/>
      <c r="E369" s="14"/>
      <c r="F369" s="14"/>
      <c r="G369" s="14"/>
      <c r="H369" s="14"/>
      <c r="I369" s="14"/>
      <c r="J369" s="14">
        <f t="shared" si="88"/>
        <v>0</v>
      </c>
      <c r="L369" s="19"/>
    </row>
    <row r="370" spans="1:12" x14ac:dyDescent="0.25">
      <c r="A370" s="9" t="s">
        <v>20</v>
      </c>
      <c r="B370" s="14"/>
      <c r="C370" s="14"/>
      <c r="D370" s="14"/>
      <c r="E370" s="14"/>
      <c r="F370" s="14"/>
      <c r="G370" s="14"/>
      <c r="H370" s="14"/>
      <c r="I370" s="14"/>
      <c r="J370" s="14">
        <f t="shared" si="88"/>
        <v>0</v>
      </c>
      <c r="L370" s="19"/>
    </row>
    <row r="371" spans="1:12" x14ac:dyDescent="0.25">
      <c r="A371" s="5" t="s">
        <v>21</v>
      </c>
      <c r="B371" s="14">
        <f t="shared" ref="B371:I371" si="89">SUM(B361:B370)</f>
        <v>447.71</v>
      </c>
      <c r="C371" s="14">
        <f t="shared" si="89"/>
        <v>0</v>
      </c>
      <c r="D371" s="14">
        <f t="shared" si="89"/>
        <v>76631.92</v>
      </c>
      <c r="E371" s="14">
        <f t="shared" si="89"/>
        <v>215.16</v>
      </c>
      <c r="F371" s="14">
        <f t="shared" si="89"/>
        <v>0</v>
      </c>
      <c r="G371" s="14">
        <f t="shared" si="89"/>
        <v>0</v>
      </c>
      <c r="H371" s="14">
        <f t="shared" si="89"/>
        <v>0</v>
      </c>
      <c r="I371" s="14">
        <f t="shared" si="89"/>
        <v>0</v>
      </c>
      <c r="J371" s="14">
        <f t="shared" si="88"/>
        <v>77294.790000000008</v>
      </c>
      <c r="L371" s="19"/>
    </row>
    <row r="372" spans="1:12" x14ac:dyDescent="0.25">
      <c r="A372" s="9" t="s">
        <v>22</v>
      </c>
      <c r="B372" s="14"/>
      <c r="C372" s="14"/>
      <c r="D372" s="14"/>
      <c r="E372" s="14"/>
      <c r="F372" s="14"/>
      <c r="G372" s="14"/>
      <c r="H372" s="14"/>
      <c r="I372" s="14"/>
      <c r="J372" s="14">
        <f t="shared" si="88"/>
        <v>0</v>
      </c>
      <c r="L372" s="19"/>
    </row>
    <row r="373" spans="1:12" x14ac:dyDescent="0.25">
      <c r="A373" s="9" t="s">
        <v>23</v>
      </c>
      <c r="B373" s="14"/>
      <c r="C373" s="14"/>
      <c r="D373" s="14"/>
      <c r="E373" s="14"/>
      <c r="F373" s="14"/>
      <c r="G373" s="14"/>
      <c r="H373" s="14"/>
      <c r="I373" s="14"/>
      <c r="J373" s="14">
        <f t="shared" si="88"/>
        <v>0</v>
      </c>
      <c r="L373" s="19"/>
    </row>
    <row r="374" spans="1:12" x14ac:dyDescent="0.25">
      <c r="A374" s="5" t="s">
        <v>42</v>
      </c>
      <c r="B374" s="14">
        <f t="shared" ref="B374:J374" si="90">SUM(B372:B373)</f>
        <v>0</v>
      </c>
      <c r="C374" s="14">
        <f t="shared" si="90"/>
        <v>0</v>
      </c>
      <c r="D374" s="14">
        <f t="shared" si="90"/>
        <v>0</v>
      </c>
      <c r="E374" s="14">
        <f t="shared" si="90"/>
        <v>0</v>
      </c>
      <c r="F374" s="14">
        <f t="shared" si="90"/>
        <v>0</v>
      </c>
      <c r="G374" s="14">
        <f t="shared" si="90"/>
        <v>0</v>
      </c>
      <c r="H374" s="14">
        <f t="shared" si="90"/>
        <v>0</v>
      </c>
      <c r="I374" s="14">
        <f t="shared" si="90"/>
        <v>0</v>
      </c>
      <c r="J374" s="14">
        <f t="shared" si="90"/>
        <v>0</v>
      </c>
      <c r="L374" s="19"/>
    </row>
    <row r="375" spans="1:12" x14ac:dyDescent="0.25">
      <c r="A375" s="5" t="s">
        <v>24</v>
      </c>
      <c r="B375" s="14">
        <f t="shared" ref="B375:J375" si="91">B371+B374</f>
        <v>447.71</v>
      </c>
      <c r="C375" s="14">
        <f t="shared" si="91"/>
        <v>0</v>
      </c>
      <c r="D375" s="14">
        <f t="shared" si="91"/>
        <v>76631.92</v>
      </c>
      <c r="E375" s="14">
        <f t="shared" si="91"/>
        <v>215.16</v>
      </c>
      <c r="F375" s="14">
        <f t="shared" si="91"/>
        <v>0</v>
      </c>
      <c r="G375" s="14">
        <f t="shared" si="91"/>
        <v>0</v>
      </c>
      <c r="H375" s="14">
        <f t="shared" si="91"/>
        <v>0</v>
      </c>
      <c r="I375" s="14">
        <f t="shared" si="91"/>
        <v>0</v>
      </c>
      <c r="J375" s="14">
        <f t="shared" si="91"/>
        <v>77294.790000000008</v>
      </c>
      <c r="L375" s="19"/>
    </row>
    <row r="376" spans="1:12" x14ac:dyDescent="0.25">
      <c r="A376" s="10" t="s">
        <v>54</v>
      </c>
      <c r="B376" s="14"/>
      <c r="C376" s="14"/>
      <c r="D376" s="14"/>
      <c r="E376" s="14"/>
      <c r="F376" s="14"/>
      <c r="G376" s="14"/>
      <c r="H376" s="14"/>
      <c r="I376" s="14"/>
      <c r="J376" s="14"/>
      <c r="L376" s="19"/>
    </row>
    <row r="377" spans="1:12" x14ac:dyDescent="0.25">
      <c r="A377" s="9" t="s">
        <v>11</v>
      </c>
      <c r="B377" s="14"/>
      <c r="C377" s="14"/>
      <c r="D377" s="14">
        <f>42359.06+6068.08+6068.08</f>
        <v>54495.22</v>
      </c>
      <c r="E377" s="14"/>
      <c r="F377" s="14"/>
      <c r="G377" s="14"/>
      <c r="H377" s="14"/>
      <c r="I377" s="14"/>
      <c r="J377" s="14">
        <f t="shared" ref="J377:J389" si="92">SUM(B377:I377)</f>
        <v>54495.22</v>
      </c>
      <c r="L377" s="19"/>
    </row>
    <row r="378" spans="1:12" x14ac:dyDescent="0.25">
      <c r="A378" s="9" t="s">
        <v>12</v>
      </c>
      <c r="B378" s="14"/>
      <c r="C378" s="14"/>
      <c r="D378" s="14"/>
      <c r="E378" s="14">
        <v>215.16</v>
      </c>
      <c r="F378" s="14"/>
      <c r="G378" s="14"/>
      <c r="H378" s="14"/>
      <c r="I378" s="14"/>
      <c r="J378" s="14">
        <f t="shared" si="92"/>
        <v>215.16</v>
      </c>
      <c r="L378" s="19"/>
    </row>
    <row r="379" spans="1:12" x14ac:dyDescent="0.25">
      <c r="A379" s="9" t="s">
        <v>13</v>
      </c>
      <c r="B379" s="14"/>
      <c r="C379" s="14"/>
      <c r="D379" s="14"/>
      <c r="E379" s="14"/>
      <c r="F379" s="14"/>
      <c r="G379" s="14"/>
      <c r="H379" s="14"/>
      <c r="I379" s="14"/>
      <c r="J379" s="14">
        <f t="shared" si="92"/>
        <v>0</v>
      </c>
      <c r="L379" s="19"/>
    </row>
    <row r="380" spans="1:12" x14ac:dyDescent="0.25">
      <c r="A380" s="9" t="s">
        <v>14</v>
      </c>
      <c r="B380" s="14"/>
      <c r="C380" s="14"/>
      <c r="D380" s="14"/>
      <c r="E380" s="14"/>
      <c r="F380" s="14"/>
      <c r="G380" s="14"/>
      <c r="H380" s="14"/>
      <c r="I380" s="14"/>
      <c r="J380" s="14">
        <f t="shared" si="92"/>
        <v>0</v>
      </c>
      <c r="L380" s="19"/>
    </row>
    <row r="381" spans="1:12" x14ac:dyDescent="0.25">
      <c r="A381" s="9" t="s">
        <v>15</v>
      </c>
      <c r="B381" s="14"/>
      <c r="C381" s="14"/>
      <c r="D381" s="14">
        <v>2031</v>
      </c>
      <c r="E381" s="14"/>
      <c r="F381" s="14"/>
      <c r="G381" s="14"/>
      <c r="H381" s="14"/>
      <c r="I381" s="14"/>
      <c r="J381" s="14">
        <f t="shared" si="92"/>
        <v>2031</v>
      </c>
      <c r="L381" s="19"/>
    </row>
    <row r="382" spans="1:12" x14ac:dyDescent="0.25">
      <c r="A382" s="9" t="s">
        <v>16</v>
      </c>
      <c r="B382" s="14"/>
      <c r="C382" s="14"/>
      <c r="D382" s="14"/>
      <c r="E382" s="14"/>
      <c r="F382" s="14"/>
      <c r="G382" s="14"/>
      <c r="H382" s="14"/>
      <c r="I382" s="14"/>
      <c r="J382" s="14">
        <f t="shared" si="92"/>
        <v>0</v>
      </c>
      <c r="L382" s="19"/>
    </row>
    <row r="383" spans="1:12" x14ac:dyDescent="0.25">
      <c r="A383" s="9" t="s">
        <v>17</v>
      </c>
      <c r="B383" s="14"/>
      <c r="C383" s="14"/>
      <c r="D383" s="14"/>
      <c r="E383" s="14"/>
      <c r="F383" s="14"/>
      <c r="G383" s="14"/>
      <c r="H383" s="14"/>
      <c r="I383" s="14"/>
      <c r="J383" s="14">
        <f t="shared" si="92"/>
        <v>0</v>
      </c>
      <c r="L383" s="19"/>
    </row>
    <row r="384" spans="1:12" x14ac:dyDescent="0.25">
      <c r="A384" s="9" t="s">
        <v>18</v>
      </c>
      <c r="B384" s="14"/>
      <c r="C384" s="14"/>
      <c r="D384" s="14"/>
      <c r="E384" s="14"/>
      <c r="F384" s="14"/>
      <c r="G384" s="14"/>
      <c r="H384" s="14"/>
      <c r="I384" s="14"/>
      <c r="J384" s="14">
        <f t="shared" si="92"/>
        <v>0</v>
      </c>
      <c r="L384" s="19"/>
    </row>
    <row r="385" spans="1:12" x14ac:dyDescent="0.25">
      <c r="A385" s="9" t="s">
        <v>19</v>
      </c>
      <c r="B385" s="14"/>
      <c r="C385" s="14"/>
      <c r="D385" s="14"/>
      <c r="E385" s="14"/>
      <c r="F385" s="14"/>
      <c r="G385" s="14"/>
      <c r="H385" s="14"/>
      <c r="I385" s="14"/>
      <c r="J385" s="14">
        <f t="shared" si="92"/>
        <v>0</v>
      </c>
      <c r="L385" s="19"/>
    </row>
    <row r="386" spans="1:12" x14ac:dyDescent="0.25">
      <c r="A386" s="9" t="s">
        <v>20</v>
      </c>
      <c r="B386" s="14"/>
      <c r="C386" s="14"/>
      <c r="D386" s="14"/>
      <c r="E386" s="14"/>
      <c r="F386" s="14"/>
      <c r="G386" s="14"/>
      <c r="H386" s="14"/>
      <c r="I386" s="14"/>
      <c r="J386" s="14">
        <f t="shared" si="92"/>
        <v>0</v>
      </c>
      <c r="L386" s="19"/>
    </row>
    <row r="387" spans="1:12" x14ac:dyDescent="0.25">
      <c r="A387" s="5" t="s">
        <v>21</v>
      </c>
      <c r="B387" s="14">
        <f t="shared" ref="B387:I387" si="93">SUM(B377:B386)</f>
        <v>0</v>
      </c>
      <c r="C387" s="14">
        <f t="shared" si="93"/>
        <v>0</v>
      </c>
      <c r="D387" s="14">
        <f t="shared" si="93"/>
        <v>56526.22</v>
      </c>
      <c r="E387" s="14">
        <f t="shared" si="93"/>
        <v>215.16</v>
      </c>
      <c r="F387" s="14">
        <f t="shared" si="93"/>
        <v>0</v>
      </c>
      <c r="G387" s="14">
        <f t="shared" si="93"/>
        <v>0</v>
      </c>
      <c r="H387" s="14">
        <f t="shared" si="93"/>
        <v>0</v>
      </c>
      <c r="I387" s="14">
        <f t="shared" si="93"/>
        <v>0</v>
      </c>
      <c r="J387" s="14">
        <f t="shared" si="92"/>
        <v>56741.380000000005</v>
      </c>
      <c r="L387" s="19"/>
    </row>
    <row r="388" spans="1:12" x14ac:dyDescent="0.25">
      <c r="A388" s="9" t="s">
        <v>22</v>
      </c>
      <c r="B388" s="14"/>
      <c r="C388" s="14"/>
      <c r="D388" s="14"/>
      <c r="E388" s="14"/>
      <c r="F388" s="14"/>
      <c r="G388" s="14"/>
      <c r="H388" s="14"/>
      <c r="I388" s="14"/>
      <c r="J388" s="14">
        <f t="shared" si="92"/>
        <v>0</v>
      </c>
      <c r="L388" s="19"/>
    </row>
    <row r="389" spans="1:12" x14ac:dyDescent="0.25">
      <c r="A389" s="9" t="s">
        <v>23</v>
      </c>
      <c r="B389" s="14"/>
      <c r="C389" s="14"/>
      <c r="D389" s="14"/>
      <c r="E389" s="14"/>
      <c r="F389" s="14"/>
      <c r="G389" s="14"/>
      <c r="H389" s="14"/>
      <c r="I389" s="14"/>
      <c r="J389" s="14">
        <f t="shared" si="92"/>
        <v>0</v>
      </c>
      <c r="L389" s="19"/>
    </row>
    <row r="390" spans="1:12" x14ac:dyDescent="0.25">
      <c r="A390" s="5" t="s">
        <v>42</v>
      </c>
      <c r="B390" s="14">
        <f t="shared" ref="B390:J390" si="94">SUM(B388:B389)</f>
        <v>0</v>
      </c>
      <c r="C390" s="14">
        <f t="shared" si="94"/>
        <v>0</v>
      </c>
      <c r="D390" s="14">
        <f t="shared" si="94"/>
        <v>0</v>
      </c>
      <c r="E390" s="14">
        <f t="shared" si="94"/>
        <v>0</v>
      </c>
      <c r="F390" s="14">
        <f t="shared" si="94"/>
        <v>0</v>
      </c>
      <c r="G390" s="14">
        <f t="shared" si="94"/>
        <v>0</v>
      </c>
      <c r="H390" s="14">
        <f t="shared" si="94"/>
        <v>0</v>
      </c>
      <c r="I390" s="14">
        <f t="shared" si="94"/>
        <v>0</v>
      </c>
      <c r="J390" s="14">
        <f t="shared" si="94"/>
        <v>0</v>
      </c>
      <c r="L390" s="19"/>
    </row>
    <row r="391" spans="1:12" x14ac:dyDescent="0.25">
      <c r="A391" s="5" t="s">
        <v>24</v>
      </c>
      <c r="B391" s="14">
        <f t="shared" ref="B391:J391" si="95">B387+B390</f>
        <v>0</v>
      </c>
      <c r="C391" s="14">
        <f t="shared" si="95"/>
        <v>0</v>
      </c>
      <c r="D391" s="14">
        <f t="shared" si="95"/>
        <v>56526.22</v>
      </c>
      <c r="E391" s="14">
        <f t="shared" si="95"/>
        <v>215.16</v>
      </c>
      <c r="F391" s="14">
        <f t="shared" si="95"/>
        <v>0</v>
      </c>
      <c r="G391" s="14">
        <f t="shared" si="95"/>
        <v>0</v>
      </c>
      <c r="H391" s="14">
        <f t="shared" si="95"/>
        <v>0</v>
      </c>
      <c r="I391" s="14">
        <f t="shared" si="95"/>
        <v>0</v>
      </c>
      <c r="J391" s="14">
        <f t="shared" si="95"/>
        <v>56741.380000000005</v>
      </c>
      <c r="L391" s="19"/>
    </row>
    <row r="392" spans="1:12" x14ac:dyDescent="0.25">
      <c r="A392" s="10" t="s">
        <v>55</v>
      </c>
      <c r="B392" s="14"/>
      <c r="C392" s="14"/>
      <c r="D392" s="14"/>
      <c r="E392" s="14"/>
      <c r="F392" s="14"/>
      <c r="G392" s="14"/>
      <c r="H392" s="14"/>
      <c r="I392" s="14"/>
      <c r="J392" s="14"/>
      <c r="L392" s="19"/>
    </row>
    <row r="393" spans="1:12" x14ac:dyDescent="0.25">
      <c r="A393" s="9" t="s">
        <v>11</v>
      </c>
      <c r="B393" s="14"/>
      <c r="C393" s="14"/>
      <c r="D393" s="14">
        <f>48209.41+4698.65+4698.65</f>
        <v>57606.710000000006</v>
      </c>
      <c r="E393" s="14"/>
      <c r="F393" s="14"/>
      <c r="G393" s="14"/>
      <c r="H393" s="14"/>
      <c r="I393" s="14"/>
      <c r="J393" s="14">
        <f t="shared" ref="J393:J405" si="96">SUM(B393:I393)</f>
        <v>57606.710000000006</v>
      </c>
      <c r="L393" s="19"/>
    </row>
    <row r="394" spans="1:12" x14ac:dyDescent="0.25">
      <c r="A394" s="9" t="s">
        <v>12</v>
      </c>
      <c r="B394" s="14"/>
      <c r="C394" s="14"/>
      <c r="D394" s="14">
        <v>399</v>
      </c>
      <c r="E394" s="14">
        <v>215.16</v>
      </c>
      <c r="F394" s="14"/>
      <c r="G394" s="14"/>
      <c r="H394" s="14"/>
      <c r="I394" s="14"/>
      <c r="J394" s="14">
        <f t="shared" si="96"/>
        <v>614.16</v>
      </c>
      <c r="L394" s="19"/>
    </row>
    <row r="395" spans="1:12" x14ac:dyDescent="0.25">
      <c r="A395" s="9" t="s">
        <v>13</v>
      </c>
      <c r="B395" s="14"/>
      <c r="C395" s="14"/>
      <c r="D395" s="14"/>
      <c r="E395" s="14"/>
      <c r="F395" s="14"/>
      <c r="G395" s="14"/>
      <c r="H395" s="14"/>
      <c r="I395" s="14"/>
      <c r="J395" s="14">
        <f t="shared" si="96"/>
        <v>0</v>
      </c>
      <c r="L395" s="19"/>
    </row>
    <row r="396" spans="1:12" x14ac:dyDescent="0.25">
      <c r="A396" s="9" t="s">
        <v>14</v>
      </c>
      <c r="B396" s="14"/>
      <c r="C396" s="14"/>
      <c r="D396" s="14">
        <f>138.56+297.66</f>
        <v>436.22</v>
      </c>
      <c r="E396" s="14"/>
      <c r="F396" s="14"/>
      <c r="G396" s="14"/>
      <c r="H396" s="14"/>
      <c r="I396" s="14"/>
      <c r="J396" s="14">
        <f t="shared" si="96"/>
        <v>436.22</v>
      </c>
      <c r="L396" s="19"/>
    </row>
    <row r="397" spans="1:12" x14ac:dyDescent="0.25">
      <c r="A397" s="9" t="s">
        <v>15</v>
      </c>
      <c r="B397" s="14"/>
      <c r="C397" s="14"/>
      <c r="D397" s="14"/>
      <c r="E397" s="14"/>
      <c r="F397" s="14"/>
      <c r="G397" s="14"/>
      <c r="H397" s="14"/>
      <c r="I397" s="14"/>
      <c r="J397" s="14">
        <f t="shared" si="96"/>
        <v>0</v>
      </c>
      <c r="L397" s="19"/>
    </row>
    <row r="398" spans="1:12" x14ac:dyDescent="0.25">
      <c r="A398" s="9" t="s">
        <v>16</v>
      </c>
      <c r="B398" s="14"/>
      <c r="C398" s="14"/>
      <c r="D398" s="14"/>
      <c r="E398" s="14"/>
      <c r="F398" s="14"/>
      <c r="G398" s="14"/>
      <c r="H398" s="14"/>
      <c r="I398" s="14"/>
      <c r="J398" s="14">
        <f t="shared" si="96"/>
        <v>0</v>
      </c>
      <c r="L398" s="19"/>
    </row>
    <row r="399" spans="1:12" x14ac:dyDescent="0.25">
      <c r="A399" s="9" t="s">
        <v>17</v>
      </c>
      <c r="B399" s="14"/>
      <c r="C399" s="14"/>
      <c r="D399" s="14"/>
      <c r="E399" s="14"/>
      <c r="F399" s="14"/>
      <c r="G399" s="14"/>
      <c r="H399" s="14"/>
      <c r="I399" s="14"/>
      <c r="J399" s="14">
        <f t="shared" si="96"/>
        <v>0</v>
      </c>
      <c r="L399" s="19"/>
    </row>
    <row r="400" spans="1:12" x14ac:dyDescent="0.25">
      <c r="A400" s="9" t="s">
        <v>18</v>
      </c>
      <c r="B400" s="14">
        <f>49.12+25.13</f>
        <v>74.25</v>
      </c>
      <c r="C400" s="14"/>
      <c r="D400" s="14"/>
      <c r="E400" s="14"/>
      <c r="F400" s="14"/>
      <c r="G400" s="14"/>
      <c r="H400" s="14"/>
      <c r="I400" s="14"/>
      <c r="J400" s="14">
        <f t="shared" si="96"/>
        <v>74.25</v>
      </c>
      <c r="L400" s="19"/>
    </row>
    <row r="401" spans="1:12" x14ac:dyDescent="0.25">
      <c r="A401" s="9" t="s">
        <v>19</v>
      </c>
      <c r="B401" s="14"/>
      <c r="C401" s="14"/>
      <c r="D401" s="14"/>
      <c r="E401" s="14"/>
      <c r="F401" s="14"/>
      <c r="G401" s="14"/>
      <c r="H401" s="14"/>
      <c r="I401" s="14"/>
      <c r="J401" s="14">
        <f t="shared" si="96"/>
        <v>0</v>
      </c>
      <c r="L401" s="19"/>
    </row>
    <row r="402" spans="1:12" x14ac:dyDescent="0.25">
      <c r="A402" s="9" t="s">
        <v>20</v>
      </c>
      <c r="B402" s="14"/>
      <c r="C402" s="14"/>
      <c r="D402" s="14"/>
      <c r="E402" s="14"/>
      <c r="F402" s="14"/>
      <c r="G402" s="14"/>
      <c r="H402" s="14"/>
      <c r="I402" s="14"/>
      <c r="J402" s="14">
        <f t="shared" si="96"/>
        <v>0</v>
      </c>
      <c r="L402" s="19"/>
    </row>
    <row r="403" spans="1:12" x14ac:dyDescent="0.25">
      <c r="A403" s="5" t="s">
        <v>21</v>
      </c>
      <c r="B403" s="14">
        <f t="shared" ref="B403:I403" si="97">SUM(B393:B402)</f>
        <v>74.25</v>
      </c>
      <c r="C403" s="14">
        <f t="shared" si="97"/>
        <v>0</v>
      </c>
      <c r="D403" s="14">
        <f t="shared" si="97"/>
        <v>58441.930000000008</v>
      </c>
      <c r="E403" s="14">
        <f t="shared" si="97"/>
        <v>215.16</v>
      </c>
      <c r="F403" s="14">
        <f t="shared" si="97"/>
        <v>0</v>
      </c>
      <c r="G403" s="14">
        <f t="shared" si="97"/>
        <v>0</v>
      </c>
      <c r="H403" s="14">
        <f t="shared" si="97"/>
        <v>0</v>
      </c>
      <c r="I403" s="14">
        <f t="shared" si="97"/>
        <v>0</v>
      </c>
      <c r="J403" s="14">
        <f t="shared" si="96"/>
        <v>58731.340000000011</v>
      </c>
      <c r="L403" s="19"/>
    </row>
    <row r="404" spans="1:12" x14ac:dyDescent="0.25">
      <c r="A404" s="9" t="s">
        <v>22</v>
      </c>
      <c r="B404" s="14"/>
      <c r="C404" s="14"/>
      <c r="D404" s="14"/>
      <c r="E404" s="14"/>
      <c r="F404" s="14"/>
      <c r="G404" s="14"/>
      <c r="H404" s="14"/>
      <c r="I404" s="14"/>
      <c r="J404" s="14">
        <f t="shared" si="96"/>
        <v>0</v>
      </c>
      <c r="L404" s="19"/>
    </row>
    <row r="405" spans="1:12" x14ac:dyDescent="0.25">
      <c r="A405" s="9" t="s">
        <v>23</v>
      </c>
      <c r="B405" s="14"/>
      <c r="C405" s="14"/>
      <c r="D405" s="14"/>
      <c r="E405" s="14"/>
      <c r="F405" s="14"/>
      <c r="G405" s="14"/>
      <c r="H405" s="14"/>
      <c r="I405" s="14"/>
      <c r="J405" s="14">
        <f t="shared" si="96"/>
        <v>0</v>
      </c>
      <c r="L405" s="19"/>
    </row>
    <row r="406" spans="1:12" x14ac:dyDescent="0.25">
      <c r="A406" s="5" t="s">
        <v>42</v>
      </c>
      <c r="B406" s="14">
        <f t="shared" ref="B406:J406" si="98">SUM(B404:B405)</f>
        <v>0</v>
      </c>
      <c r="C406" s="14">
        <f t="shared" si="98"/>
        <v>0</v>
      </c>
      <c r="D406" s="14">
        <f t="shared" si="98"/>
        <v>0</v>
      </c>
      <c r="E406" s="14">
        <f t="shared" si="98"/>
        <v>0</v>
      </c>
      <c r="F406" s="14">
        <f t="shared" si="98"/>
        <v>0</v>
      </c>
      <c r="G406" s="14">
        <f t="shared" si="98"/>
        <v>0</v>
      </c>
      <c r="H406" s="14">
        <f t="shared" si="98"/>
        <v>0</v>
      </c>
      <c r="I406" s="14">
        <f t="shared" si="98"/>
        <v>0</v>
      </c>
      <c r="J406" s="14">
        <f t="shared" si="98"/>
        <v>0</v>
      </c>
      <c r="L406" s="19"/>
    </row>
    <row r="407" spans="1:12" x14ac:dyDescent="0.25">
      <c r="A407" s="5" t="s">
        <v>24</v>
      </c>
      <c r="B407" s="14">
        <f t="shared" ref="B407:J407" si="99">B403+B406</f>
        <v>74.25</v>
      </c>
      <c r="C407" s="14">
        <f t="shared" si="99"/>
        <v>0</v>
      </c>
      <c r="D407" s="14">
        <f t="shared" si="99"/>
        <v>58441.930000000008</v>
      </c>
      <c r="E407" s="14">
        <f t="shared" si="99"/>
        <v>215.16</v>
      </c>
      <c r="F407" s="14">
        <f t="shared" si="99"/>
        <v>0</v>
      </c>
      <c r="G407" s="14">
        <f t="shared" si="99"/>
        <v>0</v>
      </c>
      <c r="H407" s="14">
        <f t="shared" si="99"/>
        <v>0</v>
      </c>
      <c r="I407" s="14">
        <f t="shared" si="99"/>
        <v>0</v>
      </c>
      <c r="J407" s="14">
        <f t="shared" si="99"/>
        <v>58731.340000000011</v>
      </c>
      <c r="L407" s="19"/>
    </row>
    <row r="408" spans="1:12" x14ac:dyDescent="0.25">
      <c r="A408" s="10" t="s">
        <v>56</v>
      </c>
      <c r="B408" s="14"/>
      <c r="C408" s="14"/>
      <c r="D408" s="14"/>
      <c r="E408" s="14"/>
      <c r="F408" s="14"/>
      <c r="G408" s="14"/>
      <c r="H408" s="14"/>
      <c r="I408" s="14"/>
      <c r="J408" s="14"/>
      <c r="L408" s="19"/>
    </row>
    <row r="409" spans="1:12" x14ac:dyDescent="0.25">
      <c r="A409" s="9" t="s">
        <v>11</v>
      </c>
      <c r="B409" s="14"/>
      <c r="C409" s="14"/>
      <c r="D409" s="14">
        <f>102045.69+13627.66+13627.66</f>
        <v>129301.01000000001</v>
      </c>
      <c r="E409" s="14"/>
      <c r="F409" s="14"/>
      <c r="G409" s="14"/>
      <c r="H409" s="14"/>
      <c r="I409" s="14"/>
      <c r="J409" s="14">
        <f t="shared" ref="J409:J421" si="100">SUM(B409:I409)</f>
        <v>129301.01000000001</v>
      </c>
      <c r="L409" s="19"/>
    </row>
    <row r="410" spans="1:12" x14ac:dyDescent="0.25">
      <c r="A410" s="9" t="s">
        <v>12</v>
      </c>
      <c r="B410" s="14"/>
      <c r="C410" s="14"/>
      <c r="D410" s="14"/>
      <c r="E410" s="14">
        <v>215.16</v>
      </c>
      <c r="F410" s="14"/>
      <c r="G410" s="14"/>
      <c r="H410" s="14"/>
      <c r="I410" s="14"/>
      <c r="J410" s="14">
        <f t="shared" si="100"/>
        <v>215.16</v>
      </c>
      <c r="L410" s="19"/>
    </row>
    <row r="411" spans="1:12" x14ac:dyDescent="0.25">
      <c r="A411" s="9" t="s">
        <v>13</v>
      </c>
      <c r="B411" s="14"/>
      <c r="C411" s="14"/>
      <c r="D411" s="14"/>
      <c r="E411" s="14"/>
      <c r="F411" s="14"/>
      <c r="G411" s="14"/>
      <c r="H411" s="14"/>
      <c r="I411" s="14"/>
      <c r="J411" s="14">
        <f t="shared" si="100"/>
        <v>0</v>
      </c>
      <c r="L411" s="19"/>
    </row>
    <row r="412" spans="1:12" x14ac:dyDescent="0.25">
      <c r="A412" s="9" t="s">
        <v>14</v>
      </c>
      <c r="B412" s="14">
        <v>996.77</v>
      </c>
      <c r="C412" s="14"/>
      <c r="D412" s="14"/>
      <c r="E412" s="14"/>
      <c r="F412" s="14"/>
      <c r="G412" s="14"/>
      <c r="H412" s="14"/>
      <c r="I412" s="14"/>
      <c r="J412" s="14">
        <f t="shared" si="100"/>
        <v>996.77</v>
      </c>
      <c r="L412" s="19"/>
    </row>
    <row r="413" spans="1:12" x14ac:dyDescent="0.25">
      <c r="A413" s="9" t="s">
        <v>15</v>
      </c>
      <c r="B413" s="14"/>
      <c r="C413" s="14"/>
      <c r="D413" s="14"/>
      <c r="E413" s="14"/>
      <c r="F413" s="14"/>
      <c r="G413" s="14"/>
      <c r="H413" s="14"/>
      <c r="I413" s="14"/>
      <c r="J413" s="14">
        <f t="shared" si="100"/>
        <v>0</v>
      </c>
      <c r="L413" s="19"/>
    </row>
    <row r="414" spans="1:12" x14ac:dyDescent="0.25">
      <c r="A414" s="9" t="s">
        <v>16</v>
      </c>
      <c r="B414" s="14"/>
      <c r="C414" s="14"/>
      <c r="D414" s="14"/>
      <c r="E414" s="14"/>
      <c r="F414" s="14"/>
      <c r="G414" s="14"/>
      <c r="H414" s="14"/>
      <c r="I414" s="14"/>
      <c r="J414" s="14">
        <f t="shared" si="100"/>
        <v>0</v>
      </c>
      <c r="L414" s="19"/>
    </row>
    <row r="415" spans="1:12" x14ac:dyDescent="0.25">
      <c r="A415" s="9" t="s">
        <v>17</v>
      </c>
      <c r="B415" s="14"/>
      <c r="C415" s="14"/>
      <c r="D415" s="14"/>
      <c r="E415" s="14"/>
      <c r="F415" s="14"/>
      <c r="G415" s="14"/>
      <c r="H415" s="14"/>
      <c r="I415" s="14"/>
      <c r="J415" s="14">
        <f t="shared" si="100"/>
        <v>0</v>
      </c>
      <c r="L415" s="19"/>
    </row>
    <row r="416" spans="1:12" x14ac:dyDescent="0.25">
      <c r="A416" s="9" t="s">
        <v>18</v>
      </c>
      <c r="B416" s="14"/>
      <c r="C416" s="14"/>
      <c r="D416" s="14"/>
      <c r="E416" s="14"/>
      <c r="F416" s="14"/>
      <c r="G416" s="14"/>
      <c r="H416" s="14"/>
      <c r="I416" s="14"/>
      <c r="J416" s="14">
        <f t="shared" si="100"/>
        <v>0</v>
      </c>
      <c r="L416" s="19"/>
    </row>
    <row r="417" spans="1:12" x14ac:dyDescent="0.25">
      <c r="A417" s="9" t="s">
        <v>19</v>
      </c>
      <c r="B417" s="14"/>
      <c r="C417" s="14"/>
      <c r="D417" s="14"/>
      <c r="E417" s="14"/>
      <c r="F417" s="14"/>
      <c r="G417" s="14"/>
      <c r="H417" s="14"/>
      <c r="I417" s="14"/>
      <c r="J417" s="14">
        <f t="shared" si="100"/>
        <v>0</v>
      </c>
      <c r="L417" s="19"/>
    </row>
    <row r="418" spans="1:12" x14ac:dyDescent="0.25">
      <c r="A418" s="9" t="s">
        <v>20</v>
      </c>
      <c r="B418" s="14"/>
      <c r="C418" s="14"/>
      <c r="D418" s="14"/>
      <c r="E418" s="14"/>
      <c r="F418" s="14"/>
      <c r="G418" s="14"/>
      <c r="H418" s="14"/>
      <c r="I418" s="14"/>
      <c r="J418" s="14">
        <f t="shared" si="100"/>
        <v>0</v>
      </c>
      <c r="L418" s="19"/>
    </row>
    <row r="419" spans="1:12" x14ac:dyDescent="0.25">
      <c r="A419" s="5" t="s">
        <v>21</v>
      </c>
      <c r="B419" s="14">
        <f t="shared" ref="B419:I419" si="101">SUM(B409:B418)</f>
        <v>996.77</v>
      </c>
      <c r="C419" s="14">
        <f t="shared" si="101"/>
        <v>0</v>
      </c>
      <c r="D419" s="14">
        <f t="shared" si="101"/>
        <v>129301.01000000001</v>
      </c>
      <c r="E419" s="14">
        <f t="shared" si="101"/>
        <v>215.16</v>
      </c>
      <c r="F419" s="14">
        <f t="shared" si="101"/>
        <v>0</v>
      </c>
      <c r="G419" s="14">
        <f t="shared" si="101"/>
        <v>0</v>
      </c>
      <c r="H419" s="14">
        <f t="shared" si="101"/>
        <v>0</v>
      </c>
      <c r="I419" s="14">
        <f t="shared" si="101"/>
        <v>0</v>
      </c>
      <c r="J419" s="14">
        <f t="shared" si="100"/>
        <v>130512.94000000002</v>
      </c>
      <c r="L419" s="19"/>
    </row>
    <row r="420" spans="1:12" x14ac:dyDescent="0.25">
      <c r="A420" s="9" t="s">
        <v>22</v>
      </c>
      <c r="B420" s="14"/>
      <c r="C420" s="14"/>
      <c r="D420" s="14"/>
      <c r="E420" s="14"/>
      <c r="F420" s="14"/>
      <c r="G420" s="14"/>
      <c r="H420" s="14"/>
      <c r="I420" s="14"/>
      <c r="J420" s="14">
        <f t="shared" si="100"/>
        <v>0</v>
      </c>
      <c r="L420" s="19"/>
    </row>
    <row r="421" spans="1:12" x14ac:dyDescent="0.25">
      <c r="A421" s="9" t="s">
        <v>23</v>
      </c>
      <c r="B421" s="14"/>
      <c r="C421" s="14"/>
      <c r="D421" s="14"/>
      <c r="E421" s="14"/>
      <c r="F421" s="14"/>
      <c r="G421" s="14"/>
      <c r="H421" s="14"/>
      <c r="I421" s="14"/>
      <c r="J421" s="14">
        <f t="shared" si="100"/>
        <v>0</v>
      </c>
      <c r="L421" s="19"/>
    </row>
    <row r="422" spans="1:12" x14ac:dyDescent="0.25">
      <c r="A422" s="5" t="s">
        <v>42</v>
      </c>
      <c r="B422" s="14">
        <f t="shared" ref="B422:J422" si="102">SUM(B420:B421)</f>
        <v>0</v>
      </c>
      <c r="C422" s="14">
        <f t="shared" si="102"/>
        <v>0</v>
      </c>
      <c r="D422" s="14">
        <f t="shared" si="102"/>
        <v>0</v>
      </c>
      <c r="E422" s="14">
        <f t="shared" si="102"/>
        <v>0</v>
      </c>
      <c r="F422" s="14">
        <f t="shared" si="102"/>
        <v>0</v>
      </c>
      <c r="G422" s="14">
        <f t="shared" si="102"/>
        <v>0</v>
      </c>
      <c r="H422" s="14">
        <f t="shared" si="102"/>
        <v>0</v>
      </c>
      <c r="I422" s="14">
        <f t="shared" si="102"/>
        <v>0</v>
      </c>
      <c r="J422" s="14">
        <f t="shared" si="102"/>
        <v>0</v>
      </c>
      <c r="L422" s="19"/>
    </row>
    <row r="423" spans="1:12" x14ac:dyDescent="0.25">
      <c r="A423" s="5" t="s">
        <v>24</v>
      </c>
      <c r="B423" s="14">
        <f t="shared" ref="B423:J423" si="103">B419+B422</f>
        <v>996.77</v>
      </c>
      <c r="C423" s="14">
        <f t="shared" si="103"/>
        <v>0</v>
      </c>
      <c r="D423" s="14">
        <f t="shared" si="103"/>
        <v>129301.01000000001</v>
      </c>
      <c r="E423" s="14">
        <f t="shared" si="103"/>
        <v>215.16</v>
      </c>
      <c r="F423" s="14">
        <f t="shared" si="103"/>
        <v>0</v>
      </c>
      <c r="G423" s="14">
        <f t="shared" si="103"/>
        <v>0</v>
      </c>
      <c r="H423" s="14">
        <f t="shared" si="103"/>
        <v>0</v>
      </c>
      <c r="I423" s="14">
        <f t="shared" si="103"/>
        <v>0</v>
      </c>
      <c r="J423" s="14">
        <f t="shared" si="103"/>
        <v>130512.94000000002</v>
      </c>
      <c r="L423" s="19"/>
    </row>
    <row r="424" spans="1:12" x14ac:dyDescent="0.25">
      <c r="A424" s="10" t="s">
        <v>57</v>
      </c>
      <c r="B424" s="14"/>
      <c r="C424" s="14"/>
      <c r="D424" s="14"/>
      <c r="E424" s="14"/>
      <c r="F424" s="14"/>
      <c r="G424" s="14"/>
      <c r="H424" s="14"/>
      <c r="I424" s="14"/>
      <c r="J424" s="14"/>
      <c r="L424" s="19"/>
    </row>
    <row r="425" spans="1:12" x14ac:dyDescent="0.25">
      <c r="A425" s="9" t="s">
        <v>11</v>
      </c>
      <c r="B425" s="14"/>
      <c r="C425" s="14"/>
      <c r="D425" s="14">
        <f>50273.72+5627.01+5627.01</f>
        <v>61527.740000000005</v>
      </c>
      <c r="E425" s="14"/>
      <c r="F425" s="14"/>
      <c r="G425" s="14"/>
      <c r="H425" s="14"/>
      <c r="I425" s="14"/>
      <c r="J425" s="14">
        <f t="shared" ref="J425:J437" si="104">SUM(B425:I425)</f>
        <v>61527.740000000005</v>
      </c>
      <c r="L425" s="19"/>
    </row>
    <row r="426" spans="1:12" x14ac:dyDescent="0.25">
      <c r="A426" s="9" t="s">
        <v>12</v>
      </c>
      <c r="B426" s="14"/>
      <c r="C426" s="14"/>
      <c r="D426" s="14"/>
      <c r="E426" s="14">
        <v>215.16</v>
      </c>
      <c r="F426" s="14"/>
      <c r="G426" s="14"/>
      <c r="H426" s="14"/>
      <c r="I426" s="14"/>
      <c r="J426" s="14">
        <f t="shared" si="104"/>
        <v>215.16</v>
      </c>
      <c r="L426" s="19"/>
    </row>
    <row r="427" spans="1:12" x14ac:dyDescent="0.25">
      <c r="A427" s="9" t="s">
        <v>13</v>
      </c>
      <c r="B427" s="14"/>
      <c r="C427" s="14"/>
      <c r="D427" s="14"/>
      <c r="E427" s="14"/>
      <c r="F427" s="14"/>
      <c r="G427" s="14"/>
      <c r="H427" s="14"/>
      <c r="I427" s="14"/>
      <c r="J427" s="14">
        <f t="shared" si="104"/>
        <v>0</v>
      </c>
      <c r="L427" s="19"/>
    </row>
    <row r="428" spans="1:12" x14ac:dyDescent="0.25">
      <c r="A428" s="9" t="s">
        <v>14</v>
      </c>
      <c r="B428" s="14"/>
      <c r="C428" s="14"/>
      <c r="D428" s="14">
        <v>138.56</v>
      </c>
      <c r="E428" s="14"/>
      <c r="F428" s="14"/>
      <c r="G428" s="14"/>
      <c r="H428" s="14"/>
      <c r="I428" s="14"/>
      <c r="J428" s="14">
        <f t="shared" si="104"/>
        <v>138.56</v>
      </c>
      <c r="L428" s="19"/>
    </row>
    <row r="429" spans="1:12" x14ac:dyDescent="0.25">
      <c r="A429" s="9" t="s">
        <v>15</v>
      </c>
      <c r="B429" s="14"/>
      <c r="C429" s="14"/>
      <c r="D429" s="14"/>
      <c r="E429" s="14"/>
      <c r="F429" s="14"/>
      <c r="G429" s="14"/>
      <c r="H429" s="14"/>
      <c r="I429" s="14"/>
      <c r="J429" s="14">
        <f t="shared" si="104"/>
        <v>0</v>
      </c>
      <c r="L429" s="19"/>
    </row>
    <row r="430" spans="1:12" x14ac:dyDescent="0.25">
      <c r="A430" s="9" t="s">
        <v>16</v>
      </c>
      <c r="B430" s="14"/>
      <c r="C430" s="14"/>
      <c r="D430" s="14"/>
      <c r="E430" s="14"/>
      <c r="F430" s="14"/>
      <c r="G430" s="14"/>
      <c r="H430" s="14"/>
      <c r="I430" s="14"/>
      <c r="J430" s="14">
        <f t="shared" si="104"/>
        <v>0</v>
      </c>
      <c r="L430" s="19"/>
    </row>
    <row r="431" spans="1:12" x14ac:dyDescent="0.25">
      <c r="A431" s="9" t="s">
        <v>17</v>
      </c>
      <c r="B431" s="14"/>
      <c r="C431" s="14"/>
      <c r="D431" s="14"/>
      <c r="E431" s="14"/>
      <c r="F431" s="14"/>
      <c r="G431" s="14"/>
      <c r="H431" s="14"/>
      <c r="I431" s="14"/>
      <c r="J431" s="14">
        <f t="shared" si="104"/>
        <v>0</v>
      </c>
      <c r="L431" s="19"/>
    </row>
    <row r="432" spans="1:12" x14ac:dyDescent="0.25">
      <c r="A432" s="9" t="s">
        <v>18</v>
      </c>
      <c r="B432" s="14"/>
      <c r="C432" s="14"/>
      <c r="D432" s="14"/>
      <c r="E432" s="14"/>
      <c r="F432" s="14"/>
      <c r="G432" s="14"/>
      <c r="H432" s="14"/>
      <c r="I432" s="14"/>
      <c r="J432" s="14">
        <f t="shared" si="104"/>
        <v>0</v>
      </c>
      <c r="L432" s="19"/>
    </row>
    <row r="433" spans="1:12" x14ac:dyDescent="0.25">
      <c r="A433" s="9" t="s">
        <v>19</v>
      </c>
      <c r="B433" s="14"/>
      <c r="C433" s="14"/>
      <c r="D433" s="14"/>
      <c r="E433" s="14"/>
      <c r="F433" s="14"/>
      <c r="G433" s="14"/>
      <c r="H433" s="14"/>
      <c r="I433" s="14"/>
      <c r="J433" s="14">
        <f t="shared" si="104"/>
        <v>0</v>
      </c>
      <c r="L433" s="19"/>
    </row>
    <row r="434" spans="1:12" x14ac:dyDescent="0.25">
      <c r="A434" s="9" t="s">
        <v>20</v>
      </c>
      <c r="B434" s="14"/>
      <c r="C434" s="14"/>
      <c r="D434" s="14"/>
      <c r="E434" s="14"/>
      <c r="F434" s="14"/>
      <c r="G434" s="14"/>
      <c r="H434" s="14"/>
      <c r="I434" s="14"/>
      <c r="J434" s="14">
        <f t="shared" si="104"/>
        <v>0</v>
      </c>
      <c r="L434" s="19"/>
    </row>
    <row r="435" spans="1:12" x14ac:dyDescent="0.25">
      <c r="A435" s="5" t="s">
        <v>21</v>
      </c>
      <c r="B435" s="14">
        <f t="shared" ref="B435:I435" si="105">SUM(B425:B434)</f>
        <v>0</v>
      </c>
      <c r="C435" s="14">
        <f t="shared" si="105"/>
        <v>0</v>
      </c>
      <c r="D435" s="14">
        <f t="shared" si="105"/>
        <v>61666.3</v>
      </c>
      <c r="E435" s="14">
        <f t="shared" si="105"/>
        <v>215.16</v>
      </c>
      <c r="F435" s="14">
        <f t="shared" si="105"/>
        <v>0</v>
      </c>
      <c r="G435" s="14">
        <f t="shared" si="105"/>
        <v>0</v>
      </c>
      <c r="H435" s="14">
        <f t="shared" si="105"/>
        <v>0</v>
      </c>
      <c r="I435" s="14">
        <f t="shared" si="105"/>
        <v>0</v>
      </c>
      <c r="J435" s="14">
        <f t="shared" si="104"/>
        <v>61881.460000000006</v>
      </c>
      <c r="L435" s="19"/>
    </row>
    <row r="436" spans="1:12" x14ac:dyDescent="0.25">
      <c r="A436" s="9" t="s">
        <v>22</v>
      </c>
      <c r="B436" s="14"/>
      <c r="C436" s="14"/>
      <c r="D436" s="14"/>
      <c r="E436" s="14"/>
      <c r="F436" s="14"/>
      <c r="G436" s="14"/>
      <c r="H436" s="14"/>
      <c r="I436" s="14"/>
      <c r="J436" s="14">
        <f t="shared" si="104"/>
        <v>0</v>
      </c>
      <c r="L436" s="19"/>
    </row>
    <row r="437" spans="1:12" x14ac:dyDescent="0.25">
      <c r="A437" s="9" t="s">
        <v>23</v>
      </c>
      <c r="B437" s="14"/>
      <c r="C437" s="14"/>
      <c r="D437" s="14"/>
      <c r="E437" s="14"/>
      <c r="F437" s="14"/>
      <c r="G437" s="14"/>
      <c r="H437" s="14"/>
      <c r="I437" s="14"/>
      <c r="J437" s="14">
        <f t="shared" si="104"/>
        <v>0</v>
      </c>
      <c r="L437" s="19"/>
    </row>
    <row r="438" spans="1:12" x14ac:dyDescent="0.25">
      <c r="A438" s="5" t="s">
        <v>42</v>
      </c>
      <c r="B438" s="14">
        <f t="shared" ref="B438:J438" si="106">SUM(B436:B437)</f>
        <v>0</v>
      </c>
      <c r="C438" s="14">
        <f t="shared" si="106"/>
        <v>0</v>
      </c>
      <c r="D438" s="14">
        <f t="shared" si="106"/>
        <v>0</v>
      </c>
      <c r="E438" s="14">
        <f t="shared" si="106"/>
        <v>0</v>
      </c>
      <c r="F438" s="14">
        <f t="shared" si="106"/>
        <v>0</v>
      </c>
      <c r="G438" s="14">
        <f t="shared" si="106"/>
        <v>0</v>
      </c>
      <c r="H438" s="14">
        <f t="shared" si="106"/>
        <v>0</v>
      </c>
      <c r="I438" s="14">
        <f t="shared" si="106"/>
        <v>0</v>
      </c>
      <c r="J438" s="14">
        <f t="shared" si="106"/>
        <v>0</v>
      </c>
      <c r="L438" s="19"/>
    </row>
    <row r="439" spans="1:12" x14ac:dyDescent="0.25">
      <c r="A439" s="5" t="s">
        <v>24</v>
      </c>
      <c r="B439" s="14">
        <f t="shared" ref="B439:J439" si="107">B435+B438</f>
        <v>0</v>
      </c>
      <c r="C439" s="14">
        <f t="shared" si="107"/>
        <v>0</v>
      </c>
      <c r="D439" s="14">
        <f t="shared" si="107"/>
        <v>61666.3</v>
      </c>
      <c r="E439" s="14">
        <f t="shared" si="107"/>
        <v>215.16</v>
      </c>
      <c r="F439" s="14">
        <f t="shared" si="107"/>
        <v>0</v>
      </c>
      <c r="G439" s="14">
        <f t="shared" si="107"/>
        <v>0</v>
      </c>
      <c r="H439" s="14">
        <f t="shared" si="107"/>
        <v>0</v>
      </c>
      <c r="I439" s="14">
        <f t="shared" si="107"/>
        <v>0</v>
      </c>
      <c r="J439" s="14">
        <f t="shared" si="107"/>
        <v>61881.460000000006</v>
      </c>
      <c r="L439" s="19"/>
    </row>
    <row r="440" spans="1:12" x14ac:dyDescent="0.25">
      <c r="A440" s="10" t="s">
        <v>58</v>
      </c>
      <c r="B440" s="14"/>
      <c r="C440" s="14"/>
      <c r="D440" s="14"/>
      <c r="E440" s="14"/>
      <c r="F440" s="14"/>
      <c r="G440" s="14"/>
      <c r="H440" s="14"/>
      <c r="I440" s="14"/>
      <c r="J440" s="14"/>
      <c r="L440" s="19"/>
    </row>
    <row r="441" spans="1:12" x14ac:dyDescent="0.25">
      <c r="A441" s="9" t="s">
        <v>11</v>
      </c>
      <c r="B441" s="14"/>
      <c r="C441" s="14"/>
      <c r="D441" s="14">
        <f>42036.55+5443.75+5443.75</f>
        <v>52924.05</v>
      </c>
      <c r="E441" s="14"/>
      <c r="F441" s="14"/>
      <c r="G441" s="14"/>
      <c r="H441" s="14"/>
      <c r="I441" s="14"/>
      <c r="J441" s="14">
        <f t="shared" ref="J441:J453" si="108">SUM(B441:I441)</f>
        <v>52924.05</v>
      </c>
      <c r="L441" s="19"/>
    </row>
    <row r="442" spans="1:12" x14ac:dyDescent="0.25">
      <c r="A442" s="9" t="s">
        <v>12</v>
      </c>
      <c r="B442" s="14"/>
      <c r="C442" s="14"/>
      <c r="D442" s="14">
        <v>399</v>
      </c>
      <c r="E442" s="14">
        <v>215.16</v>
      </c>
      <c r="F442" s="14"/>
      <c r="G442" s="14"/>
      <c r="H442" s="14"/>
      <c r="I442" s="14"/>
      <c r="J442" s="14">
        <f t="shared" si="108"/>
        <v>614.16</v>
      </c>
      <c r="L442" s="19"/>
    </row>
    <row r="443" spans="1:12" x14ac:dyDescent="0.25">
      <c r="A443" s="9" t="s">
        <v>13</v>
      </c>
      <c r="B443" s="14"/>
      <c r="C443" s="14"/>
      <c r="D443" s="14"/>
      <c r="E443" s="14"/>
      <c r="F443" s="14"/>
      <c r="G443" s="14"/>
      <c r="H443" s="14"/>
      <c r="I443" s="14"/>
      <c r="J443" s="14">
        <f t="shared" si="108"/>
        <v>0</v>
      </c>
      <c r="L443" s="19"/>
    </row>
    <row r="444" spans="1:12" x14ac:dyDescent="0.25">
      <c r="A444" s="9" t="s">
        <v>14</v>
      </c>
      <c r="B444" s="14"/>
      <c r="C444" s="14"/>
      <c r="D444" s="14">
        <f>138.77+138.56+297.66</f>
        <v>574.99</v>
      </c>
      <c r="E444" s="14"/>
      <c r="F444" s="14"/>
      <c r="G444" s="14"/>
      <c r="H444" s="14"/>
      <c r="I444" s="14"/>
      <c r="J444" s="14">
        <f t="shared" si="108"/>
        <v>574.99</v>
      </c>
      <c r="L444" s="19"/>
    </row>
    <row r="445" spans="1:12" x14ac:dyDescent="0.25">
      <c r="A445" s="9" t="s">
        <v>15</v>
      </c>
      <c r="B445" s="14"/>
      <c r="C445" s="14"/>
      <c r="D445" s="14"/>
      <c r="E445" s="14"/>
      <c r="F445" s="14"/>
      <c r="G445" s="14"/>
      <c r="H445" s="14"/>
      <c r="I445" s="14"/>
      <c r="J445" s="14">
        <f t="shared" si="108"/>
        <v>0</v>
      </c>
      <c r="L445" s="19"/>
    </row>
    <row r="446" spans="1:12" x14ac:dyDescent="0.25">
      <c r="A446" s="9" t="s">
        <v>16</v>
      </c>
      <c r="B446" s="14"/>
      <c r="C446" s="14"/>
      <c r="D446" s="14"/>
      <c r="E446" s="14"/>
      <c r="F446" s="14"/>
      <c r="G446" s="14"/>
      <c r="H446" s="14"/>
      <c r="I446" s="14"/>
      <c r="J446" s="14">
        <f t="shared" si="108"/>
        <v>0</v>
      </c>
      <c r="L446" s="19"/>
    </row>
    <row r="447" spans="1:12" x14ac:dyDescent="0.25">
      <c r="A447" s="9" t="s">
        <v>17</v>
      </c>
      <c r="B447" s="14"/>
      <c r="C447" s="14"/>
      <c r="D447" s="14"/>
      <c r="E447" s="14"/>
      <c r="F447" s="14"/>
      <c r="G447" s="14"/>
      <c r="H447" s="14"/>
      <c r="I447" s="14"/>
      <c r="J447" s="14">
        <f t="shared" si="108"/>
        <v>0</v>
      </c>
      <c r="L447" s="19"/>
    </row>
    <row r="448" spans="1:12" x14ac:dyDescent="0.25">
      <c r="A448" s="9" t="s">
        <v>18</v>
      </c>
      <c r="B448" s="14">
        <f>224.11+98.11</f>
        <v>322.22000000000003</v>
      </c>
      <c r="C448" s="14"/>
      <c r="D448" s="14"/>
      <c r="E448" s="14"/>
      <c r="F448" s="14"/>
      <c r="G448" s="14"/>
      <c r="H448" s="14"/>
      <c r="I448" s="14"/>
      <c r="J448" s="14">
        <f t="shared" si="108"/>
        <v>322.22000000000003</v>
      </c>
      <c r="L448" s="19"/>
    </row>
    <row r="449" spans="1:12" x14ac:dyDescent="0.25">
      <c r="A449" s="9" t="s">
        <v>19</v>
      </c>
      <c r="B449" s="14"/>
      <c r="C449" s="14"/>
      <c r="D449" s="14"/>
      <c r="E449" s="14"/>
      <c r="F449" s="14"/>
      <c r="G449" s="14"/>
      <c r="H449" s="14"/>
      <c r="I449" s="14"/>
      <c r="J449" s="14">
        <f t="shared" si="108"/>
        <v>0</v>
      </c>
      <c r="L449" s="19"/>
    </row>
    <row r="450" spans="1:12" x14ac:dyDescent="0.25">
      <c r="A450" s="9" t="s">
        <v>20</v>
      </c>
      <c r="B450" s="14"/>
      <c r="C450" s="14"/>
      <c r="D450" s="14"/>
      <c r="E450" s="14"/>
      <c r="F450" s="14"/>
      <c r="G450" s="14"/>
      <c r="H450" s="14"/>
      <c r="I450" s="14"/>
      <c r="J450" s="14">
        <f t="shared" si="108"/>
        <v>0</v>
      </c>
      <c r="L450" s="19"/>
    </row>
    <row r="451" spans="1:12" x14ac:dyDescent="0.25">
      <c r="A451" s="5" t="s">
        <v>21</v>
      </c>
      <c r="B451" s="14">
        <f t="shared" ref="B451:I451" si="109">SUM(B441:B450)</f>
        <v>322.22000000000003</v>
      </c>
      <c r="C451" s="14">
        <f t="shared" si="109"/>
        <v>0</v>
      </c>
      <c r="D451" s="14">
        <f t="shared" si="109"/>
        <v>53898.04</v>
      </c>
      <c r="E451" s="14">
        <f t="shared" si="109"/>
        <v>215.16</v>
      </c>
      <c r="F451" s="14">
        <f t="shared" si="109"/>
        <v>0</v>
      </c>
      <c r="G451" s="14">
        <f t="shared" si="109"/>
        <v>0</v>
      </c>
      <c r="H451" s="14">
        <f t="shared" si="109"/>
        <v>0</v>
      </c>
      <c r="I451" s="14">
        <f t="shared" si="109"/>
        <v>0</v>
      </c>
      <c r="J451" s="14">
        <f t="shared" si="108"/>
        <v>54435.420000000006</v>
      </c>
      <c r="L451" s="19"/>
    </row>
    <row r="452" spans="1:12" x14ac:dyDescent="0.25">
      <c r="A452" s="9" t="s">
        <v>22</v>
      </c>
      <c r="B452" s="14"/>
      <c r="C452" s="14"/>
      <c r="D452" s="14"/>
      <c r="E452" s="14"/>
      <c r="F452" s="14"/>
      <c r="G452" s="14"/>
      <c r="H452" s="14"/>
      <c r="I452" s="14"/>
      <c r="J452" s="14">
        <f t="shared" si="108"/>
        <v>0</v>
      </c>
      <c r="L452" s="19"/>
    </row>
    <row r="453" spans="1:12" x14ac:dyDescent="0.25">
      <c r="A453" s="9" t="s">
        <v>23</v>
      </c>
      <c r="B453" s="14"/>
      <c r="C453" s="14"/>
      <c r="D453" s="14"/>
      <c r="E453" s="14"/>
      <c r="F453" s="14"/>
      <c r="G453" s="14"/>
      <c r="H453" s="14"/>
      <c r="I453" s="14"/>
      <c r="J453" s="14">
        <f t="shared" si="108"/>
        <v>0</v>
      </c>
      <c r="L453" s="19"/>
    </row>
    <row r="454" spans="1:12" x14ac:dyDescent="0.25">
      <c r="A454" s="5" t="s">
        <v>42</v>
      </c>
      <c r="B454" s="14">
        <f t="shared" ref="B454:J454" si="110">SUM(B452:B453)</f>
        <v>0</v>
      </c>
      <c r="C454" s="14">
        <f t="shared" si="110"/>
        <v>0</v>
      </c>
      <c r="D454" s="14">
        <f t="shared" si="110"/>
        <v>0</v>
      </c>
      <c r="E454" s="14">
        <f t="shared" si="110"/>
        <v>0</v>
      </c>
      <c r="F454" s="14">
        <f t="shared" si="110"/>
        <v>0</v>
      </c>
      <c r="G454" s="14">
        <f t="shared" si="110"/>
        <v>0</v>
      </c>
      <c r="H454" s="14">
        <f t="shared" si="110"/>
        <v>0</v>
      </c>
      <c r="I454" s="14">
        <f t="shared" si="110"/>
        <v>0</v>
      </c>
      <c r="J454" s="14">
        <f t="shared" si="110"/>
        <v>0</v>
      </c>
      <c r="L454" s="19"/>
    </row>
    <row r="455" spans="1:12" x14ac:dyDescent="0.25">
      <c r="A455" s="5" t="s">
        <v>24</v>
      </c>
      <c r="B455" s="14">
        <f t="shared" ref="B455:J455" si="111">B451+B454</f>
        <v>322.22000000000003</v>
      </c>
      <c r="C455" s="14">
        <f t="shared" si="111"/>
        <v>0</v>
      </c>
      <c r="D455" s="14">
        <f t="shared" si="111"/>
        <v>53898.04</v>
      </c>
      <c r="E455" s="14">
        <f t="shared" si="111"/>
        <v>215.16</v>
      </c>
      <c r="F455" s="14">
        <f t="shared" si="111"/>
        <v>0</v>
      </c>
      <c r="G455" s="14">
        <f t="shared" si="111"/>
        <v>0</v>
      </c>
      <c r="H455" s="14">
        <f t="shared" si="111"/>
        <v>0</v>
      </c>
      <c r="I455" s="14">
        <f t="shared" si="111"/>
        <v>0</v>
      </c>
      <c r="J455" s="14">
        <f t="shared" si="111"/>
        <v>54435.420000000006</v>
      </c>
      <c r="L455" s="19"/>
    </row>
    <row r="456" spans="1:12" x14ac:dyDescent="0.25">
      <c r="A456" s="10" t="s">
        <v>59</v>
      </c>
      <c r="B456" s="14"/>
      <c r="C456" s="14"/>
      <c r="D456" s="14"/>
      <c r="E456" s="14"/>
      <c r="F456" s="14"/>
      <c r="G456" s="14"/>
      <c r="H456" s="14"/>
      <c r="I456" s="14"/>
      <c r="J456" s="14"/>
      <c r="L456" s="19"/>
    </row>
    <row r="457" spans="1:12" x14ac:dyDescent="0.25">
      <c r="A457" s="9" t="s">
        <v>11</v>
      </c>
      <c r="B457" s="14"/>
      <c r="C457" s="14"/>
      <c r="D457" s="14">
        <f>43344.71+6061.03+6061.03</f>
        <v>55466.77</v>
      </c>
      <c r="E457" s="14"/>
      <c r="F457" s="14"/>
      <c r="G457" s="14"/>
      <c r="H457" s="14"/>
      <c r="I457" s="14"/>
      <c r="J457" s="14">
        <f t="shared" ref="J457:J469" si="112">SUM(B457:I457)</f>
        <v>55466.77</v>
      </c>
      <c r="L457" s="19"/>
    </row>
    <row r="458" spans="1:12" x14ac:dyDescent="0.25">
      <c r="A458" s="9" t="s">
        <v>12</v>
      </c>
      <c r="B458" s="14"/>
      <c r="C458" s="14"/>
      <c r="D458" s="14"/>
      <c r="E458" s="14">
        <v>215.16</v>
      </c>
      <c r="F458" s="14"/>
      <c r="G458" s="14"/>
      <c r="H458" s="14"/>
      <c r="I458" s="14"/>
      <c r="J458" s="14">
        <f t="shared" si="112"/>
        <v>215.16</v>
      </c>
      <c r="L458" s="19"/>
    </row>
    <row r="459" spans="1:12" x14ac:dyDescent="0.25">
      <c r="A459" s="9" t="s">
        <v>13</v>
      </c>
      <c r="B459" s="14"/>
      <c r="C459" s="14"/>
      <c r="D459" s="14"/>
      <c r="E459" s="14"/>
      <c r="F459" s="14"/>
      <c r="G459" s="14"/>
      <c r="H459" s="14"/>
      <c r="I459" s="14"/>
      <c r="J459" s="14">
        <f t="shared" si="112"/>
        <v>0</v>
      </c>
      <c r="L459" s="19"/>
    </row>
    <row r="460" spans="1:12" x14ac:dyDescent="0.25">
      <c r="A460" s="9" t="s">
        <v>14</v>
      </c>
      <c r="B460" s="14"/>
      <c r="C460" s="14"/>
      <c r="D460" s="14">
        <v>138.56</v>
      </c>
      <c r="E460" s="14"/>
      <c r="F460" s="14"/>
      <c r="G460" s="14"/>
      <c r="H460" s="14"/>
      <c r="I460" s="14"/>
      <c r="J460" s="14">
        <f t="shared" si="112"/>
        <v>138.56</v>
      </c>
      <c r="L460" s="19"/>
    </row>
    <row r="461" spans="1:12" x14ac:dyDescent="0.25">
      <c r="A461" s="9" t="s">
        <v>15</v>
      </c>
      <c r="B461" s="14"/>
      <c r="C461" s="14"/>
      <c r="D461" s="14"/>
      <c r="E461" s="14"/>
      <c r="F461" s="14"/>
      <c r="G461" s="14"/>
      <c r="H461" s="14"/>
      <c r="I461" s="14"/>
      <c r="J461" s="14">
        <f t="shared" si="112"/>
        <v>0</v>
      </c>
      <c r="L461" s="19"/>
    </row>
    <row r="462" spans="1:12" x14ac:dyDescent="0.25">
      <c r="A462" s="9" t="s">
        <v>16</v>
      </c>
      <c r="B462" s="14"/>
      <c r="C462" s="14"/>
      <c r="D462" s="14"/>
      <c r="E462" s="14"/>
      <c r="F462" s="14"/>
      <c r="G462" s="14"/>
      <c r="H462" s="14"/>
      <c r="I462" s="14"/>
      <c r="J462" s="14">
        <f t="shared" si="112"/>
        <v>0</v>
      </c>
      <c r="L462" s="19"/>
    </row>
    <row r="463" spans="1:12" x14ac:dyDescent="0.25">
      <c r="A463" s="9" t="s">
        <v>17</v>
      </c>
      <c r="B463" s="14"/>
      <c r="C463" s="14"/>
      <c r="D463" s="14"/>
      <c r="E463" s="14"/>
      <c r="F463" s="14"/>
      <c r="G463" s="14"/>
      <c r="H463" s="14"/>
      <c r="I463" s="14"/>
      <c r="J463" s="14">
        <f t="shared" si="112"/>
        <v>0</v>
      </c>
      <c r="L463" s="19"/>
    </row>
    <row r="464" spans="1:12" x14ac:dyDescent="0.25">
      <c r="A464" s="9" t="s">
        <v>18</v>
      </c>
      <c r="B464" s="14"/>
      <c r="C464" s="14"/>
      <c r="D464" s="14"/>
      <c r="E464" s="14"/>
      <c r="F464" s="14"/>
      <c r="G464" s="14"/>
      <c r="H464" s="14"/>
      <c r="I464" s="14"/>
      <c r="J464" s="14">
        <f t="shared" si="112"/>
        <v>0</v>
      </c>
      <c r="L464" s="19"/>
    </row>
    <row r="465" spans="1:12" x14ac:dyDescent="0.25">
      <c r="A465" s="9" t="s">
        <v>19</v>
      </c>
      <c r="B465" s="14"/>
      <c r="C465" s="14"/>
      <c r="D465" s="14"/>
      <c r="E465" s="14"/>
      <c r="F465" s="14"/>
      <c r="G465" s="14"/>
      <c r="H465" s="14"/>
      <c r="I465" s="14"/>
      <c r="J465" s="14">
        <f t="shared" si="112"/>
        <v>0</v>
      </c>
      <c r="L465" s="19"/>
    </row>
    <row r="466" spans="1:12" x14ac:dyDescent="0.25">
      <c r="A466" s="9" t="s">
        <v>20</v>
      </c>
      <c r="B466" s="14"/>
      <c r="C466" s="14"/>
      <c r="D466" s="14"/>
      <c r="E466" s="14"/>
      <c r="F466" s="14"/>
      <c r="G466" s="14"/>
      <c r="H466" s="14"/>
      <c r="I466" s="14"/>
      <c r="J466" s="14">
        <f t="shared" si="112"/>
        <v>0</v>
      </c>
      <c r="L466" s="19"/>
    </row>
    <row r="467" spans="1:12" x14ac:dyDescent="0.25">
      <c r="A467" s="5" t="s">
        <v>21</v>
      </c>
      <c r="B467" s="14">
        <f t="shared" ref="B467:I467" si="113">SUM(B457:B466)</f>
        <v>0</v>
      </c>
      <c r="C467" s="14">
        <f t="shared" si="113"/>
        <v>0</v>
      </c>
      <c r="D467" s="14">
        <f t="shared" si="113"/>
        <v>55605.329999999994</v>
      </c>
      <c r="E467" s="14">
        <f t="shared" si="113"/>
        <v>215.16</v>
      </c>
      <c r="F467" s="14">
        <f t="shared" si="113"/>
        <v>0</v>
      </c>
      <c r="G467" s="14">
        <f t="shared" si="113"/>
        <v>0</v>
      </c>
      <c r="H467" s="14">
        <f t="shared" si="113"/>
        <v>0</v>
      </c>
      <c r="I467" s="14">
        <f t="shared" si="113"/>
        <v>0</v>
      </c>
      <c r="J467" s="14">
        <f t="shared" si="112"/>
        <v>55820.49</v>
      </c>
      <c r="L467" s="19"/>
    </row>
    <row r="468" spans="1:12" x14ac:dyDescent="0.25">
      <c r="A468" s="9" t="s">
        <v>22</v>
      </c>
      <c r="B468" s="14"/>
      <c r="C468" s="14"/>
      <c r="D468" s="14"/>
      <c r="E468" s="14"/>
      <c r="F468" s="14"/>
      <c r="G468" s="14"/>
      <c r="H468" s="14"/>
      <c r="I468" s="14"/>
      <c r="J468" s="14">
        <f t="shared" si="112"/>
        <v>0</v>
      </c>
      <c r="L468" s="19"/>
    </row>
    <row r="469" spans="1:12" x14ac:dyDescent="0.25">
      <c r="A469" s="9" t="s">
        <v>23</v>
      </c>
      <c r="B469" s="14"/>
      <c r="C469" s="14"/>
      <c r="D469" s="14"/>
      <c r="E469" s="14"/>
      <c r="F469" s="14"/>
      <c r="G469" s="14"/>
      <c r="H469" s="14"/>
      <c r="I469" s="14"/>
      <c r="J469" s="14">
        <f t="shared" si="112"/>
        <v>0</v>
      </c>
      <c r="L469" s="19"/>
    </row>
    <row r="470" spans="1:12" x14ac:dyDescent="0.25">
      <c r="A470" s="5" t="s">
        <v>42</v>
      </c>
      <c r="B470" s="14">
        <f t="shared" ref="B470:J470" si="114">SUM(B468:B469)</f>
        <v>0</v>
      </c>
      <c r="C470" s="14">
        <f t="shared" si="114"/>
        <v>0</v>
      </c>
      <c r="D470" s="14">
        <f t="shared" si="114"/>
        <v>0</v>
      </c>
      <c r="E470" s="14">
        <f t="shared" si="114"/>
        <v>0</v>
      </c>
      <c r="F470" s="14">
        <f t="shared" si="114"/>
        <v>0</v>
      </c>
      <c r="G470" s="14">
        <f t="shared" si="114"/>
        <v>0</v>
      </c>
      <c r="H470" s="14">
        <f t="shared" si="114"/>
        <v>0</v>
      </c>
      <c r="I470" s="14">
        <f t="shared" si="114"/>
        <v>0</v>
      </c>
      <c r="J470" s="14">
        <f t="shared" si="114"/>
        <v>0</v>
      </c>
      <c r="L470" s="19"/>
    </row>
    <row r="471" spans="1:12" x14ac:dyDescent="0.25">
      <c r="A471" s="5" t="s">
        <v>24</v>
      </c>
      <c r="B471" s="14">
        <f t="shared" ref="B471:J471" si="115">B467+B470</f>
        <v>0</v>
      </c>
      <c r="C471" s="14">
        <f t="shared" si="115"/>
        <v>0</v>
      </c>
      <c r="D471" s="14">
        <f t="shared" si="115"/>
        <v>55605.329999999994</v>
      </c>
      <c r="E471" s="14">
        <f t="shared" si="115"/>
        <v>215.16</v>
      </c>
      <c r="F471" s="14">
        <f t="shared" si="115"/>
        <v>0</v>
      </c>
      <c r="G471" s="14">
        <f t="shared" si="115"/>
        <v>0</v>
      </c>
      <c r="H471" s="14">
        <f t="shared" si="115"/>
        <v>0</v>
      </c>
      <c r="I471" s="14">
        <f t="shared" si="115"/>
        <v>0</v>
      </c>
      <c r="J471" s="14">
        <f t="shared" si="115"/>
        <v>55820.49</v>
      </c>
      <c r="L471" s="19"/>
    </row>
    <row r="472" spans="1:12" x14ac:dyDescent="0.25">
      <c r="A472" s="10" t="s">
        <v>60</v>
      </c>
      <c r="B472" s="14"/>
      <c r="C472" s="14"/>
      <c r="D472" s="14"/>
      <c r="E472" s="14"/>
      <c r="F472" s="14"/>
      <c r="G472" s="14"/>
      <c r="H472" s="14"/>
      <c r="I472" s="14"/>
      <c r="J472" s="14"/>
      <c r="L472" s="19"/>
    </row>
    <row r="473" spans="1:12" x14ac:dyDescent="0.25">
      <c r="A473" s="9" t="s">
        <v>11</v>
      </c>
      <c r="B473" s="14"/>
      <c r="C473" s="14"/>
      <c r="D473" s="14">
        <v>0</v>
      </c>
      <c r="E473" s="14"/>
      <c r="F473" s="14"/>
      <c r="G473" s="14"/>
      <c r="H473" s="14"/>
      <c r="I473" s="14"/>
      <c r="J473" s="14">
        <f t="shared" ref="J473:J485" si="116">SUM(B473:I473)</f>
        <v>0</v>
      </c>
      <c r="L473" s="19"/>
    </row>
    <row r="474" spans="1:12" x14ac:dyDescent="0.25">
      <c r="A474" s="9" t="s">
        <v>12</v>
      </c>
      <c r="B474" s="14"/>
      <c r="C474" s="14"/>
      <c r="D474" s="14"/>
      <c r="E474" s="14"/>
      <c r="F474" s="14"/>
      <c r="G474" s="14"/>
      <c r="H474" s="14"/>
      <c r="I474" s="14"/>
      <c r="J474" s="14">
        <f t="shared" si="116"/>
        <v>0</v>
      </c>
      <c r="L474" s="19"/>
    </row>
    <row r="475" spans="1:12" x14ac:dyDescent="0.25">
      <c r="A475" s="9" t="s">
        <v>13</v>
      </c>
      <c r="B475" s="14"/>
      <c r="C475" s="14"/>
      <c r="D475" s="14"/>
      <c r="E475" s="14"/>
      <c r="F475" s="14"/>
      <c r="G475" s="14"/>
      <c r="H475" s="14"/>
      <c r="I475" s="14"/>
      <c r="J475" s="14">
        <f t="shared" si="116"/>
        <v>0</v>
      </c>
      <c r="L475" s="19"/>
    </row>
    <row r="476" spans="1:12" x14ac:dyDescent="0.25">
      <c r="A476" s="9" t="s">
        <v>14</v>
      </c>
      <c r="B476" s="14"/>
      <c r="C476" s="14"/>
      <c r="D476" s="14"/>
      <c r="E476" s="14"/>
      <c r="F476" s="14"/>
      <c r="G476" s="14"/>
      <c r="H476" s="14"/>
      <c r="I476" s="14"/>
      <c r="J476" s="14">
        <f t="shared" si="116"/>
        <v>0</v>
      </c>
      <c r="L476" s="19"/>
    </row>
    <row r="477" spans="1:12" x14ac:dyDescent="0.25">
      <c r="A477" s="9" t="s">
        <v>15</v>
      </c>
      <c r="B477" s="14"/>
      <c r="C477" s="14"/>
      <c r="D477" s="14"/>
      <c r="E477" s="14"/>
      <c r="F477" s="14"/>
      <c r="G477" s="14"/>
      <c r="H477" s="14"/>
      <c r="I477" s="14"/>
      <c r="J477" s="14">
        <f t="shared" si="116"/>
        <v>0</v>
      </c>
      <c r="L477" s="19"/>
    </row>
    <row r="478" spans="1:12" x14ac:dyDescent="0.25">
      <c r="A478" s="9" t="s">
        <v>16</v>
      </c>
      <c r="B478" s="14"/>
      <c r="C478" s="14"/>
      <c r="D478" s="14"/>
      <c r="E478" s="14"/>
      <c r="F478" s="14"/>
      <c r="G478" s="14"/>
      <c r="H478" s="14"/>
      <c r="I478" s="14"/>
      <c r="J478" s="14">
        <f t="shared" si="116"/>
        <v>0</v>
      </c>
      <c r="L478" s="19"/>
    </row>
    <row r="479" spans="1:12" x14ac:dyDescent="0.25">
      <c r="A479" s="9" t="s">
        <v>17</v>
      </c>
      <c r="B479" s="14"/>
      <c r="C479" s="14"/>
      <c r="D479" s="14"/>
      <c r="E479" s="14"/>
      <c r="F479" s="14"/>
      <c r="G479" s="14"/>
      <c r="H479" s="14"/>
      <c r="I479" s="14"/>
      <c r="J479" s="14">
        <f t="shared" si="116"/>
        <v>0</v>
      </c>
      <c r="L479" s="19"/>
    </row>
    <row r="480" spans="1:12" x14ac:dyDescent="0.25">
      <c r="A480" s="9" t="s">
        <v>18</v>
      </c>
      <c r="B480" s="14"/>
      <c r="C480" s="14"/>
      <c r="D480" s="14"/>
      <c r="E480" s="14"/>
      <c r="F480" s="14"/>
      <c r="G480" s="14"/>
      <c r="H480" s="14"/>
      <c r="I480" s="14"/>
      <c r="J480" s="14">
        <f t="shared" si="116"/>
        <v>0</v>
      </c>
      <c r="L480" s="19"/>
    </row>
    <row r="481" spans="1:12" x14ac:dyDescent="0.25">
      <c r="A481" s="9" t="s">
        <v>19</v>
      </c>
      <c r="B481" s="14"/>
      <c r="C481" s="14"/>
      <c r="D481" s="14"/>
      <c r="E481" s="14"/>
      <c r="F481" s="14"/>
      <c r="G481" s="14"/>
      <c r="H481" s="14"/>
      <c r="I481" s="14"/>
      <c r="J481" s="14">
        <f t="shared" si="116"/>
        <v>0</v>
      </c>
      <c r="L481" s="19"/>
    </row>
    <row r="482" spans="1:12" x14ac:dyDescent="0.25">
      <c r="A482" s="9" t="s">
        <v>20</v>
      </c>
      <c r="B482" s="14"/>
      <c r="C482" s="14"/>
      <c r="D482" s="14"/>
      <c r="E482" s="14"/>
      <c r="F482" s="14"/>
      <c r="G482" s="14"/>
      <c r="H482" s="14"/>
      <c r="I482" s="14"/>
      <c r="J482" s="14">
        <f t="shared" si="116"/>
        <v>0</v>
      </c>
      <c r="L482" s="19"/>
    </row>
    <row r="483" spans="1:12" x14ac:dyDescent="0.25">
      <c r="A483" s="5" t="s">
        <v>21</v>
      </c>
      <c r="B483" s="14">
        <f t="shared" ref="B483:I483" si="117">SUM(B473:B482)</f>
        <v>0</v>
      </c>
      <c r="C483" s="14">
        <f t="shared" si="117"/>
        <v>0</v>
      </c>
      <c r="D483" s="14">
        <f t="shared" si="117"/>
        <v>0</v>
      </c>
      <c r="E483" s="14">
        <f t="shared" si="117"/>
        <v>0</v>
      </c>
      <c r="F483" s="14">
        <f t="shared" si="117"/>
        <v>0</v>
      </c>
      <c r="G483" s="14">
        <f t="shared" si="117"/>
        <v>0</v>
      </c>
      <c r="H483" s="14">
        <f t="shared" si="117"/>
        <v>0</v>
      </c>
      <c r="I483" s="14">
        <f t="shared" si="117"/>
        <v>0</v>
      </c>
      <c r="J483" s="14">
        <f t="shared" si="116"/>
        <v>0</v>
      </c>
      <c r="L483" s="19"/>
    </row>
    <row r="484" spans="1:12" x14ac:dyDescent="0.25">
      <c r="A484" s="9" t="s">
        <v>22</v>
      </c>
      <c r="B484" s="14"/>
      <c r="C484" s="14"/>
      <c r="D484" s="14"/>
      <c r="E484" s="14"/>
      <c r="F484" s="14"/>
      <c r="G484" s="14"/>
      <c r="H484" s="14"/>
      <c r="I484" s="14"/>
      <c r="J484" s="14">
        <f t="shared" si="116"/>
        <v>0</v>
      </c>
      <c r="L484" s="19"/>
    </row>
    <row r="485" spans="1:12" x14ac:dyDescent="0.25">
      <c r="A485" s="9" t="s">
        <v>23</v>
      </c>
      <c r="B485" s="14"/>
      <c r="C485" s="14"/>
      <c r="D485" s="14"/>
      <c r="E485" s="14"/>
      <c r="F485" s="14"/>
      <c r="G485" s="14"/>
      <c r="H485" s="14"/>
      <c r="I485" s="14"/>
      <c r="J485" s="14">
        <f t="shared" si="116"/>
        <v>0</v>
      </c>
      <c r="L485" s="19"/>
    </row>
    <row r="486" spans="1:12" x14ac:dyDescent="0.25">
      <c r="A486" s="5" t="s">
        <v>42</v>
      </c>
      <c r="B486" s="14">
        <f t="shared" ref="B486:J486" si="118">SUM(B484:B485)</f>
        <v>0</v>
      </c>
      <c r="C486" s="14">
        <f t="shared" si="118"/>
        <v>0</v>
      </c>
      <c r="D486" s="14">
        <f t="shared" si="118"/>
        <v>0</v>
      </c>
      <c r="E486" s="14">
        <f t="shared" si="118"/>
        <v>0</v>
      </c>
      <c r="F486" s="14">
        <f t="shared" si="118"/>
        <v>0</v>
      </c>
      <c r="G486" s="14">
        <f t="shared" si="118"/>
        <v>0</v>
      </c>
      <c r="H486" s="14">
        <f t="shared" si="118"/>
        <v>0</v>
      </c>
      <c r="I486" s="14">
        <f t="shared" si="118"/>
        <v>0</v>
      </c>
      <c r="J486" s="14">
        <f t="shared" si="118"/>
        <v>0</v>
      </c>
      <c r="L486" s="19"/>
    </row>
    <row r="487" spans="1:12" x14ac:dyDescent="0.25">
      <c r="A487" s="5" t="s">
        <v>24</v>
      </c>
      <c r="B487" s="14">
        <f t="shared" ref="B487:J487" si="119">B483+B486</f>
        <v>0</v>
      </c>
      <c r="C487" s="14">
        <f t="shared" si="119"/>
        <v>0</v>
      </c>
      <c r="D487" s="14">
        <f t="shared" si="119"/>
        <v>0</v>
      </c>
      <c r="E487" s="14">
        <f t="shared" si="119"/>
        <v>0</v>
      </c>
      <c r="F487" s="14">
        <f t="shared" si="119"/>
        <v>0</v>
      </c>
      <c r="G487" s="14">
        <f t="shared" si="119"/>
        <v>0</v>
      </c>
      <c r="H487" s="14">
        <f t="shared" si="119"/>
        <v>0</v>
      </c>
      <c r="I487" s="14">
        <f t="shared" si="119"/>
        <v>0</v>
      </c>
      <c r="J487" s="14">
        <f t="shared" si="119"/>
        <v>0</v>
      </c>
      <c r="L487" s="19"/>
    </row>
    <row r="488" spans="1:12" x14ac:dyDescent="0.25">
      <c r="A488" s="10" t="s">
        <v>61</v>
      </c>
      <c r="B488" s="14"/>
      <c r="C488" s="14"/>
      <c r="D488" s="14"/>
      <c r="E488" s="14"/>
      <c r="F488" s="14"/>
      <c r="G488" s="14"/>
      <c r="H488" s="14"/>
      <c r="I488" s="14"/>
      <c r="J488" s="14"/>
      <c r="L488" s="19"/>
    </row>
    <row r="489" spans="1:12" x14ac:dyDescent="0.25">
      <c r="A489" s="9" t="s">
        <v>11</v>
      </c>
      <c r="B489" s="14"/>
      <c r="C489" s="14"/>
      <c r="D489" s="14">
        <f>43834.82+5483.07+5483.07</f>
        <v>54800.959999999999</v>
      </c>
      <c r="E489" s="14"/>
      <c r="F489" s="14"/>
      <c r="G489" s="14"/>
      <c r="H489" s="14"/>
      <c r="I489" s="14"/>
      <c r="J489" s="14">
        <f t="shared" ref="J489:J501" si="120">SUM(B489:I489)</f>
        <v>54800.959999999999</v>
      </c>
      <c r="L489" s="19"/>
    </row>
    <row r="490" spans="1:12" x14ac:dyDescent="0.25">
      <c r="A490" s="9" t="s">
        <v>12</v>
      </c>
      <c r="B490" s="14"/>
      <c r="C490" s="14"/>
      <c r="D490" s="14"/>
      <c r="E490" s="14">
        <v>215.16</v>
      </c>
      <c r="F490" s="14"/>
      <c r="G490" s="14"/>
      <c r="H490" s="14"/>
      <c r="I490" s="14"/>
      <c r="J490" s="14">
        <f t="shared" si="120"/>
        <v>215.16</v>
      </c>
      <c r="L490" s="19"/>
    </row>
    <row r="491" spans="1:12" x14ac:dyDescent="0.25">
      <c r="A491" s="9" t="s">
        <v>13</v>
      </c>
      <c r="B491" s="14"/>
      <c r="C491" s="14"/>
      <c r="D491" s="14"/>
      <c r="E491" s="14"/>
      <c r="F491" s="14"/>
      <c r="G491" s="14"/>
      <c r="H491" s="14"/>
      <c r="I491" s="14"/>
      <c r="J491" s="14">
        <f t="shared" si="120"/>
        <v>0</v>
      </c>
      <c r="L491" s="19"/>
    </row>
    <row r="492" spans="1:12" x14ac:dyDescent="0.25">
      <c r="A492" s="9" t="s">
        <v>14</v>
      </c>
      <c r="B492" s="14"/>
      <c r="C492" s="14"/>
      <c r="D492" s="14"/>
      <c r="E492" s="14"/>
      <c r="F492" s="14"/>
      <c r="G492" s="14"/>
      <c r="H492" s="14"/>
      <c r="I492" s="14"/>
      <c r="J492" s="14">
        <f t="shared" si="120"/>
        <v>0</v>
      </c>
      <c r="L492" s="19"/>
    </row>
    <row r="493" spans="1:12" x14ac:dyDescent="0.25">
      <c r="A493" s="9" t="s">
        <v>15</v>
      </c>
      <c r="B493" s="14"/>
      <c r="C493" s="14"/>
      <c r="D493" s="14"/>
      <c r="E493" s="14"/>
      <c r="F493" s="14"/>
      <c r="G493" s="14"/>
      <c r="H493" s="14"/>
      <c r="I493" s="14"/>
      <c r="J493" s="14">
        <f t="shared" si="120"/>
        <v>0</v>
      </c>
      <c r="L493" s="19"/>
    </row>
    <row r="494" spans="1:12" x14ac:dyDescent="0.25">
      <c r="A494" s="9" t="s">
        <v>16</v>
      </c>
      <c r="B494" s="14"/>
      <c r="C494" s="14"/>
      <c r="D494" s="14"/>
      <c r="E494" s="14"/>
      <c r="F494" s="14"/>
      <c r="G494" s="14"/>
      <c r="H494" s="14"/>
      <c r="I494" s="14"/>
      <c r="J494" s="14">
        <f t="shared" si="120"/>
        <v>0</v>
      </c>
      <c r="L494" s="19"/>
    </row>
    <row r="495" spans="1:12" x14ac:dyDescent="0.25">
      <c r="A495" s="9" t="s">
        <v>17</v>
      </c>
      <c r="B495" s="14"/>
      <c r="C495" s="14"/>
      <c r="D495" s="14"/>
      <c r="E495" s="14"/>
      <c r="F495" s="14"/>
      <c r="G495" s="14"/>
      <c r="H495" s="14"/>
      <c r="I495" s="14"/>
      <c r="J495" s="14">
        <f t="shared" si="120"/>
        <v>0</v>
      </c>
      <c r="L495" s="19"/>
    </row>
    <row r="496" spans="1:12" x14ac:dyDescent="0.25">
      <c r="A496" s="9" t="s">
        <v>18</v>
      </c>
      <c r="B496" s="14">
        <f>119.73+45.23</f>
        <v>164.96</v>
      </c>
      <c r="C496" s="14"/>
      <c r="D496" s="14"/>
      <c r="E496" s="14"/>
      <c r="F496" s="14"/>
      <c r="G496" s="14"/>
      <c r="H496" s="14"/>
      <c r="I496" s="14"/>
      <c r="J496" s="14">
        <f t="shared" si="120"/>
        <v>164.96</v>
      </c>
      <c r="L496" s="19"/>
    </row>
    <row r="497" spans="1:12" x14ac:dyDescent="0.25">
      <c r="A497" s="9" t="s">
        <v>19</v>
      </c>
      <c r="B497" s="14"/>
      <c r="C497" s="14"/>
      <c r="D497" s="14"/>
      <c r="E497" s="14"/>
      <c r="F497" s="14"/>
      <c r="G497" s="14"/>
      <c r="H497" s="14"/>
      <c r="I497" s="14"/>
      <c r="J497" s="14">
        <f t="shared" si="120"/>
        <v>0</v>
      </c>
      <c r="L497" s="19"/>
    </row>
    <row r="498" spans="1:12" x14ac:dyDescent="0.25">
      <c r="A498" s="9" t="s">
        <v>20</v>
      </c>
      <c r="B498" s="14"/>
      <c r="C498" s="14"/>
      <c r="D498" s="14"/>
      <c r="E498" s="14"/>
      <c r="F498" s="14"/>
      <c r="G498" s="14"/>
      <c r="H498" s="14"/>
      <c r="I498" s="14"/>
      <c r="J498" s="14">
        <f t="shared" si="120"/>
        <v>0</v>
      </c>
      <c r="L498" s="19"/>
    </row>
    <row r="499" spans="1:12" x14ac:dyDescent="0.25">
      <c r="A499" s="5" t="s">
        <v>21</v>
      </c>
      <c r="B499" s="14">
        <f t="shared" ref="B499:I499" si="121">SUM(B489:B498)</f>
        <v>164.96</v>
      </c>
      <c r="C499" s="14">
        <f t="shared" si="121"/>
        <v>0</v>
      </c>
      <c r="D499" s="14">
        <f t="shared" si="121"/>
        <v>54800.959999999999</v>
      </c>
      <c r="E499" s="14">
        <f t="shared" si="121"/>
        <v>215.16</v>
      </c>
      <c r="F499" s="14">
        <f t="shared" si="121"/>
        <v>0</v>
      </c>
      <c r="G499" s="14">
        <f t="shared" si="121"/>
        <v>0</v>
      </c>
      <c r="H499" s="14">
        <f t="shared" si="121"/>
        <v>0</v>
      </c>
      <c r="I499" s="14">
        <f t="shared" si="121"/>
        <v>0</v>
      </c>
      <c r="J499" s="14">
        <f t="shared" si="120"/>
        <v>55181.08</v>
      </c>
      <c r="L499" s="19"/>
    </row>
    <row r="500" spans="1:12" x14ac:dyDescent="0.25">
      <c r="A500" s="9" t="s">
        <v>22</v>
      </c>
      <c r="B500" s="14"/>
      <c r="C500" s="14"/>
      <c r="D500" s="14"/>
      <c r="E500" s="14"/>
      <c r="F500" s="14"/>
      <c r="G500" s="14"/>
      <c r="H500" s="14"/>
      <c r="I500" s="14"/>
      <c r="J500" s="14">
        <f t="shared" si="120"/>
        <v>0</v>
      </c>
      <c r="L500" s="19"/>
    </row>
    <row r="501" spans="1:12" x14ac:dyDescent="0.25">
      <c r="A501" s="9" t="s">
        <v>23</v>
      </c>
      <c r="B501" s="14"/>
      <c r="C501" s="14"/>
      <c r="D501" s="14"/>
      <c r="E501" s="14"/>
      <c r="F501" s="14"/>
      <c r="G501" s="14"/>
      <c r="H501" s="14"/>
      <c r="I501" s="14"/>
      <c r="J501" s="14">
        <f t="shared" si="120"/>
        <v>0</v>
      </c>
      <c r="L501" s="19"/>
    </row>
    <row r="502" spans="1:12" x14ac:dyDescent="0.25">
      <c r="A502" s="5" t="s">
        <v>42</v>
      </c>
      <c r="B502" s="14">
        <f t="shared" ref="B502:J502" si="122">SUM(B500:B501)</f>
        <v>0</v>
      </c>
      <c r="C502" s="14">
        <f t="shared" si="122"/>
        <v>0</v>
      </c>
      <c r="D502" s="14">
        <f t="shared" si="122"/>
        <v>0</v>
      </c>
      <c r="E502" s="14">
        <f t="shared" si="122"/>
        <v>0</v>
      </c>
      <c r="F502" s="14">
        <f t="shared" si="122"/>
        <v>0</v>
      </c>
      <c r="G502" s="14">
        <f t="shared" si="122"/>
        <v>0</v>
      </c>
      <c r="H502" s="14">
        <f t="shared" si="122"/>
        <v>0</v>
      </c>
      <c r="I502" s="14">
        <f t="shared" si="122"/>
        <v>0</v>
      </c>
      <c r="J502" s="14">
        <f t="shared" si="122"/>
        <v>0</v>
      </c>
      <c r="L502" s="19"/>
    </row>
    <row r="503" spans="1:12" x14ac:dyDescent="0.25">
      <c r="A503" s="5" t="s">
        <v>24</v>
      </c>
      <c r="B503" s="14">
        <f t="shared" ref="B503:J503" si="123">B499+B502</f>
        <v>164.96</v>
      </c>
      <c r="C503" s="14">
        <f t="shared" si="123"/>
        <v>0</v>
      </c>
      <c r="D503" s="14">
        <f t="shared" si="123"/>
        <v>54800.959999999999</v>
      </c>
      <c r="E503" s="14">
        <f t="shared" si="123"/>
        <v>215.16</v>
      </c>
      <c r="F503" s="14">
        <f t="shared" si="123"/>
        <v>0</v>
      </c>
      <c r="G503" s="14">
        <f t="shared" si="123"/>
        <v>0</v>
      </c>
      <c r="H503" s="14">
        <f t="shared" si="123"/>
        <v>0</v>
      </c>
      <c r="I503" s="14">
        <f t="shared" si="123"/>
        <v>0</v>
      </c>
      <c r="J503" s="14">
        <f t="shared" si="123"/>
        <v>55181.08</v>
      </c>
      <c r="L503" s="19"/>
    </row>
    <row r="504" spans="1:12" x14ac:dyDescent="0.25">
      <c r="A504" s="10" t="s">
        <v>62</v>
      </c>
      <c r="B504" s="14"/>
      <c r="C504" s="14"/>
      <c r="D504" s="14"/>
      <c r="E504" s="14"/>
      <c r="F504" s="14"/>
      <c r="G504" s="14"/>
      <c r="H504" s="14"/>
      <c r="I504" s="14"/>
      <c r="J504" s="14"/>
      <c r="L504" s="19"/>
    </row>
    <row r="505" spans="1:12" x14ac:dyDescent="0.25">
      <c r="A505" s="9" t="s">
        <v>11</v>
      </c>
      <c r="B505" s="14"/>
      <c r="C505" s="14"/>
      <c r="D505" s="14">
        <f>44711.39+4762.45+4762.45</f>
        <v>54236.289999999994</v>
      </c>
      <c r="E505" s="14"/>
      <c r="F505" s="14"/>
      <c r="G505" s="14"/>
      <c r="H505" s="14"/>
      <c r="I505" s="14"/>
      <c r="J505" s="14">
        <f t="shared" ref="J505:J517" si="124">SUM(B505:I505)</f>
        <v>54236.289999999994</v>
      </c>
      <c r="L505" s="19"/>
    </row>
    <row r="506" spans="1:12" x14ac:dyDescent="0.25">
      <c r="A506" s="9" t="s">
        <v>12</v>
      </c>
      <c r="B506" s="14"/>
      <c r="C506" s="14"/>
      <c r="D506" s="14">
        <v>399</v>
      </c>
      <c r="E506" s="14">
        <v>215.16</v>
      </c>
      <c r="F506" s="14"/>
      <c r="G506" s="14"/>
      <c r="H506" s="14"/>
      <c r="I506" s="14"/>
      <c r="J506" s="14">
        <f t="shared" si="124"/>
        <v>614.16</v>
      </c>
      <c r="L506" s="19"/>
    </row>
    <row r="507" spans="1:12" x14ac:dyDescent="0.25">
      <c r="A507" s="9" t="s">
        <v>13</v>
      </c>
      <c r="B507" s="14"/>
      <c r="C507" s="14"/>
      <c r="D507" s="14"/>
      <c r="E507" s="14"/>
      <c r="F507" s="14"/>
      <c r="G507" s="14"/>
      <c r="H507" s="14"/>
      <c r="I507" s="14"/>
      <c r="J507" s="14">
        <f t="shared" si="124"/>
        <v>0</v>
      </c>
      <c r="L507" s="19"/>
    </row>
    <row r="508" spans="1:12" x14ac:dyDescent="0.25">
      <c r="A508" s="9" t="s">
        <v>14</v>
      </c>
      <c r="B508" s="14"/>
      <c r="C508" s="14"/>
      <c r="D508" s="14">
        <f>138.56+297.66</f>
        <v>436.22</v>
      </c>
      <c r="E508" s="14"/>
      <c r="F508" s="14"/>
      <c r="G508" s="14"/>
      <c r="H508" s="14"/>
      <c r="I508" s="14"/>
      <c r="J508" s="14">
        <f t="shared" si="124"/>
        <v>436.22</v>
      </c>
      <c r="L508" s="19"/>
    </row>
    <row r="509" spans="1:12" x14ac:dyDescent="0.25">
      <c r="A509" s="9" t="s">
        <v>15</v>
      </c>
      <c r="B509" s="14"/>
      <c r="C509" s="14"/>
      <c r="D509" s="14"/>
      <c r="E509" s="14"/>
      <c r="F509" s="14"/>
      <c r="G509" s="14"/>
      <c r="H509" s="14"/>
      <c r="I509" s="14"/>
      <c r="J509" s="14">
        <f t="shared" si="124"/>
        <v>0</v>
      </c>
      <c r="L509" s="19"/>
    </row>
    <row r="510" spans="1:12" x14ac:dyDescent="0.25">
      <c r="A510" s="9" t="s">
        <v>16</v>
      </c>
      <c r="B510" s="14"/>
      <c r="C510" s="14"/>
      <c r="D510" s="14"/>
      <c r="E510" s="14"/>
      <c r="F510" s="14"/>
      <c r="G510" s="14"/>
      <c r="H510" s="14"/>
      <c r="I510" s="14"/>
      <c r="J510" s="14">
        <f t="shared" si="124"/>
        <v>0</v>
      </c>
      <c r="L510" s="19"/>
    </row>
    <row r="511" spans="1:12" x14ac:dyDescent="0.25">
      <c r="A511" s="9" t="s">
        <v>17</v>
      </c>
      <c r="B511" s="14"/>
      <c r="C511" s="14"/>
      <c r="D511" s="14"/>
      <c r="E511" s="14"/>
      <c r="F511" s="14"/>
      <c r="G511" s="14"/>
      <c r="H511" s="14"/>
      <c r="I511" s="14"/>
      <c r="J511" s="14">
        <f t="shared" si="124"/>
        <v>0</v>
      </c>
      <c r="L511" s="19"/>
    </row>
    <row r="512" spans="1:12" x14ac:dyDescent="0.25">
      <c r="A512" s="9" t="s">
        <v>18</v>
      </c>
      <c r="B512" s="14">
        <f>353.05+58.83</f>
        <v>411.88</v>
      </c>
      <c r="C512" s="14"/>
      <c r="D512" s="14"/>
      <c r="E512" s="14"/>
      <c r="F512" s="14"/>
      <c r="G512" s="14"/>
      <c r="H512" s="14"/>
      <c r="I512" s="14"/>
      <c r="J512" s="14">
        <f t="shared" si="124"/>
        <v>411.88</v>
      </c>
      <c r="L512" s="19"/>
    </row>
    <row r="513" spans="1:12" x14ac:dyDescent="0.25">
      <c r="A513" s="9" t="s">
        <v>19</v>
      </c>
      <c r="B513" s="14"/>
      <c r="C513" s="14"/>
      <c r="D513" s="14"/>
      <c r="E513" s="14"/>
      <c r="F513" s="14"/>
      <c r="G513" s="14"/>
      <c r="H513" s="14"/>
      <c r="I513" s="14"/>
      <c r="J513" s="14">
        <f t="shared" si="124"/>
        <v>0</v>
      </c>
      <c r="L513" s="19"/>
    </row>
    <row r="514" spans="1:12" x14ac:dyDescent="0.25">
      <c r="A514" s="9" t="s">
        <v>20</v>
      </c>
      <c r="B514" s="14"/>
      <c r="C514" s="14"/>
      <c r="D514" s="14"/>
      <c r="E514" s="14"/>
      <c r="F514" s="14"/>
      <c r="G514" s="14"/>
      <c r="H514" s="14"/>
      <c r="I514" s="14"/>
      <c r="J514" s="14">
        <f t="shared" si="124"/>
        <v>0</v>
      </c>
      <c r="L514" s="19"/>
    </row>
    <row r="515" spans="1:12" x14ac:dyDescent="0.25">
      <c r="A515" s="5" t="s">
        <v>21</v>
      </c>
      <c r="B515" s="14">
        <f t="shared" ref="B515:I515" si="125">SUM(B505:B514)</f>
        <v>411.88</v>
      </c>
      <c r="C515" s="14">
        <f t="shared" si="125"/>
        <v>0</v>
      </c>
      <c r="D515" s="14">
        <f t="shared" si="125"/>
        <v>55071.509999999995</v>
      </c>
      <c r="E515" s="14">
        <f t="shared" si="125"/>
        <v>215.16</v>
      </c>
      <c r="F515" s="14">
        <f t="shared" si="125"/>
        <v>0</v>
      </c>
      <c r="G515" s="14">
        <f t="shared" si="125"/>
        <v>0</v>
      </c>
      <c r="H515" s="14">
        <f t="shared" si="125"/>
        <v>0</v>
      </c>
      <c r="I515" s="14">
        <f t="shared" si="125"/>
        <v>0</v>
      </c>
      <c r="J515" s="14">
        <f t="shared" si="124"/>
        <v>55698.549999999996</v>
      </c>
      <c r="L515" s="19"/>
    </row>
    <row r="516" spans="1:12" x14ac:dyDescent="0.25">
      <c r="A516" s="9" t="s">
        <v>22</v>
      </c>
      <c r="B516" s="14"/>
      <c r="C516" s="14"/>
      <c r="D516" s="14"/>
      <c r="E516" s="14"/>
      <c r="F516" s="14"/>
      <c r="G516" s="14"/>
      <c r="H516" s="14"/>
      <c r="I516" s="14"/>
      <c r="J516" s="14">
        <f t="shared" si="124"/>
        <v>0</v>
      </c>
      <c r="L516" s="19"/>
    </row>
    <row r="517" spans="1:12" x14ac:dyDescent="0.25">
      <c r="A517" s="9" t="s">
        <v>23</v>
      </c>
      <c r="B517" s="14"/>
      <c r="C517" s="14"/>
      <c r="D517" s="14"/>
      <c r="E517" s="14"/>
      <c r="F517" s="14"/>
      <c r="G517" s="14"/>
      <c r="H517" s="14"/>
      <c r="I517" s="14"/>
      <c r="J517" s="14">
        <f t="shared" si="124"/>
        <v>0</v>
      </c>
      <c r="L517" s="19"/>
    </row>
    <row r="518" spans="1:12" x14ac:dyDescent="0.25">
      <c r="A518" s="5" t="s">
        <v>42</v>
      </c>
      <c r="B518" s="14">
        <f t="shared" ref="B518:J518" si="126">SUM(B516:B517)</f>
        <v>0</v>
      </c>
      <c r="C518" s="14">
        <f t="shared" si="126"/>
        <v>0</v>
      </c>
      <c r="D518" s="14">
        <f t="shared" si="126"/>
        <v>0</v>
      </c>
      <c r="E518" s="14">
        <f t="shared" si="126"/>
        <v>0</v>
      </c>
      <c r="F518" s="14">
        <f t="shared" si="126"/>
        <v>0</v>
      </c>
      <c r="G518" s="14">
        <f t="shared" si="126"/>
        <v>0</v>
      </c>
      <c r="H518" s="14">
        <f t="shared" si="126"/>
        <v>0</v>
      </c>
      <c r="I518" s="14">
        <f t="shared" si="126"/>
        <v>0</v>
      </c>
      <c r="J518" s="14">
        <f t="shared" si="126"/>
        <v>0</v>
      </c>
      <c r="L518" s="19"/>
    </row>
    <row r="519" spans="1:12" x14ac:dyDescent="0.25">
      <c r="A519" s="5" t="s">
        <v>24</v>
      </c>
      <c r="B519" s="14">
        <f t="shared" ref="B519:J519" si="127">B515+B518</f>
        <v>411.88</v>
      </c>
      <c r="C519" s="14">
        <f t="shared" si="127"/>
        <v>0</v>
      </c>
      <c r="D519" s="14">
        <f t="shared" si="127"/>
        <v>55071.509999999995</v>
      </c>
      <c r="E519" s="14">
        <f t="shared" si="127"/>
        <v>215.16</v>
      </c>
      <c r="F519" s="14">
        <f t="shared" si="127"/>
        <v>0</v>
      </c>
      <c r="G519" s="14">
        <f t="shared" si="127"/>
        <v>0</v>
      </c>
      <c r="H519" s="14">
        <f t="shared" si="127"/>
        <v>0</v>
      </c>
      <c r="I519" s="14">
        <f t="shared" si="127"/>
        <v>0</v>
      </c>
      <c r="J519" s="14">
        <f t="shared" si="127"/>
        <v>55698.549999999996</v>
      </c>
      <c r="L519" s="19"/>
    </row>
    <row r="520" spans="1:12" x14ac:dyDescent="0.25">
      <c r="A520" s="10" t="s">
        <v>63</v>
      </c>
      <c r="B520" s="14"/>
      <c r="C520" s="14"/>
      <c r="D520" s="14"/>
      <c r="E520" s="14"/>
      <c r="F520" s="14"/>
      <c r="G520" s="14"/>
      <c r="H520" s="14"/>
      <c r="I520" s="14"/>
      <c r="J520" s="14"/>
      <c r="L520" s="19"/>
    </row>
    <row r="521" spans="1:12" x14ac:dyDescent="0.25">
      <c r="A521" s="9" t="s">
        <v>11</v>
      </c>
      <c r="B521" s="14"/>
      <c r="C521" s="14"/>
      <c r="D521" s="14">
        <v>5221.83</v>
      </c>
      <c r="E521" s="14"/>
      <c r="F521" s="14"/>
      <c r="G521" s="14"/>
      <c r="H521" s="14"/>
      <c r="I521" s="14"/>
      <c r="J521" s="14">
        <f t="shared" ref="J521:J533" si="128">SUM(B521:I521)</f>
        <v>5221.83</v>
      </c>
      <c r="L521" s="19"/>
    </row>
    <row r="522" spans="1:12" x14ac:dyDescent="0.25">
      <c r="A522" s="9" t="s">
        <v>12</v>
      </c>
      <c r="B522" s="14"/>
      <c r="C522" s="14"/>
      <c r="D522" s="14"/>
      <c r="E522" s="14"/>
      <c r="F522" s="14"/>
      <c r="G522" s="14"/>
      <c r="H522" s="14"/>
      <c r="I522" s="14"/>
      <c r="J522" s="14">
        <f t="shared" si="128"/>
        <v>0</v>
      </c>
      <c r="L522" s="19"/>
    </row>
    <row r="523" spans="1:12" x14ac:dyDescent="0.25">
      <c r="A523" s="9" t="s">
        <v>13</v>
      </c>
      <c r="B523" s="14"/>
      <c r="C523" s="14"/>
      <c r="D523" s="14"/>
      <c r="E523" s="14"/>
      <c r="F523" s="14"/>
      <c r="G523" s="14"/>
      <c r="H523" s="14"/>
      <c r="I523" s="14"/>
      <c r="J523" s="14">
        <f t="shared" si="128"/>
        <v>0</v>
      </c>
      <c r="L523" s="19"/>
    </row>
    <row r="524" spans="1:12" x14ac:dyDescent="0.25">
      <c r="A524" s="9" t="s">
        <v>14</v>
      </c>
      <c r="B524" s="14"/>
      <c r="C524" s="14"/>
      <c r="D524" s="14"/>
      <c r="E524" s="14"/>
      <c r="F524" s="14"/>
      <c r="G524" s="14"/>
      <c r="H524" s="14"/>
      <c r="I524" s="14"/>
      <c r="J524" s="14">
        <f t="shared" si="128"/>
        <v>0</v>
      </c>
      <c r="L524" s="19"/>
    </row>
    <row r="525" spans="1:12" x14ac:dyDescent="0.25">
      <c r="A525" s="9" t="s">
        <v>15</v>
      </c>
      <c r="B525" s="14"/>
      <c r="C525" s="14"/>
      <c r="D525" s="14"/>
      <c r="E525" s="14"/>
      <c r="F525" s="14"/>
      <c r="G525" s="14"/>
      <c r="H525" s="14"/>
      <c r="I525" s="14"/>
      <c r="J525" s="14">
        <f t="shared" si="128"/>
        <v>0</v>
      </c>
      <c r="L525" s="19"/>
    </row>
    <row r="526" spans="1:12" x14ac:dyDescent="0.25">
      <c r="A526" s="9" t="s">
        <v>16</v>
      </c>
      <c r="B526" s="14"/>
      <c r="C526" s="14"/>
      <c r="D526" s="14"/>
      <c r="E526" s="14"/>
      <c r="F526" s="14"/>
      <c r="G526" s="14"/>
      <c r="H526" s="14"/>
      <c r="I526" s="14"/>
      <c r="J526" s="14">
        <f t="shared" si="128"/>
        <v>0</v>
      </c>
      <c r="L526" s="19"/>
    </row>
    <row r="527" spans="1:12" x14ac:dyDescent="0.25">
      <c r="A527" s="9" t="s">
        <v>17</v>
      </c>
      <c r="B527" s="14"/>
      <c r="C527" s="14"/>
      <c r="D527" s="14"/>
      <c r="E527" s="14"/>
      <c r="F527" s="14"/>
      <c r="G527" s="14"/>
      <c r="H527" s="14"/>
      <c r="I527" s="14"/>
      <c r="J527" s="14">
        <f t="shared" si="128"/>
        <v>0</v>
      </c>
      <c r="L527" s="19"/>
    </row>
    <row r="528" spans="1:12" x14ac:dyDescent="0.25">
      <c r="A528" s="9" t="s">
        <v>18</v>
      </c>
      <c r="B528" s="14">
        <f>27.63+5.63</f>
        <v>33.26</v>
      </c>
      <c r="C528" s="14"/>
      <c r="D528" s="14"/>
      <c r="E528" s="14"/>
      <c r="F528" s="14"/>
      <c r="G528" s="14"/>
      <c r="H528" s="14"/>
      <c r="I528" s="14"/>
      <c r="J528" s="14">
        <f t="shared" si="128"/>
        <v>33.26</v>
      </c>
      <c r="L528" s="19"/>
    </row>
    <row r="529" spans="1:12" x14ac:dyDescent="0.25">
      <c r="A529" s="9" t="s">
        <v>19</v>
      </c>
      <c r="B529" s="14"/>
      <c r="C529" s="14"/>
      <c r="D529" s="14"/>
      <c r="E529" s="14"/>
      <c r="F529" s="14"/>
      <c r="G529" s="14"/>
      <c r="H529" s="14"/>
      <c r="I529" s="14"/>
      <c r="J529" s="14">
        <f t="shared" si="128"/>
        <v>0</v>
      </c>
      <c r="L529" s="19"/>
    </row>
    <row r="530" spans="1:12" x14ac:dyDescent="0.25">
      <c r="A530" s="9" t="s">
        <v>20</v>
      </c>
      <c r="B530" s="14"/>
      <c r="C530" s="14"/>
      <c r="D530" s="14"/>
      <c r="E530" s="14"/>
      <c r="F530" s="14"/>
      <c r="G530" s="14"/>
      <c r="H530" s="14"/>
      <c r="I530" s="14"/>
      <c r="J530" s="14">
        <f t="shared" si="128"/>
        <v>0</v>
      </c>
      <c r="L530" s="19"/>
    </row>
    <row r="531" spans="1:12" x14ac:dyDescent="0.25">
      <c r="A531" s="5" t="s">
        <v>21</v>
      </c>
      <c r="B531" s="14">
        <f t="shared" ref="B531:I531" si="129">SUM(B521:B530)</f>
        <v>33.26</v>
      </c>
      <c r="C531" s="14">
        <f t="shared" si="129"/>
        <v>0</v>
      </c>
      <c r="D531" s="14">
        <f t="shared" si="129"/>
        <v>5221.83</v>
      </c>
      <c r="E531" s="14">
        <f t="shared" si="129"/>
        <v>0</v>
      </c>
      <c r="F531" s="14">
        <f t="shared" si="129"/>
        <v>0</v>
      </c>
      <c r="G531" s="14">
        <f t="shared" si="129"/>
        <v>0</v>
      </c>
      <c r="H531" s="14">
        <f t="shared" si="129"/>
        <v>0</v>
      </c>
      <c r="I531" s="14">
        <f t="shared" si="129"/>
        <v>0</v>
      </c>
      <c r="J531" s="14">
        <f t="shared" si="128"/>
        <v>5255.09</v>
      </c>
      <c r="L531" s="19"/>
    </row>
    <row r="532" spans="1:12" x14ac:dyDescent="0.25">
      <c r="A532" s="9" t="s">
        <v>22</v>
      </c>
      <c r="B532" s="14"/>
      <c r="C532" s="14"/>
      <c r="D532" s="14"/>
      <c r="E532" s="14"/>
      <c r="F532" s="14"/>
      <c r="G532" s="14"/>
      <c r="H532" s="14"/>
      <c r="I532" s="14"/>
      <c r="J532" s="14">
        <f t="shared" si="128"/>
        <v>0</v>
      </c>
      <c r="L532" s="19"/>
    </row>
    <row r="533" spans="1:12" x14ac:dyDescent="0.25">
      <c r="A533" s="9" t="s">
        <v>23</v>
      </c>
      <c r="B533" s="14"/>
      <c r="C533" s="14"/>
      <c r="D533" s="14"/>
      <c r="E533" s="14"/>
      <c r="F533" s="14"/>
      <c r="G533" s="14"/>
      <c r="H533" s="14"/>
      <c r="I533" s="14"/>
      <c r="J533" s="14">
        <f t="shared" si="128"/>
        <v>0</v>
      </c>
      <c r="L533" s="19"/>
    </row>
    <row r="534" spans="1:12" x14ac:dyDescent="0.25">
      <c r="A534" s="5" t="s">
        <v>42</v>
      </c>
      <c r="B534" s="14">
        <f t="shared" ref="B534:J534" si="130">SUM(B532:B533)</f>
        <v>0</v>
      </c>
      <c r="C534" s="14">
        <f t="shared" si="130"/>
        <v>0</v>
      </c>
      <c r="D534" s="14">
        <f t="shared" si="130"/>
        <v>0</v>
      </c>
      <c r="E534" s="14">
        <f t="shared" si="130"/>
        <v>0</v>
      </c>
      <c r="F534" s="14">
        <f t="shared" si="130"/>
        <v>0</v>
      </c>
      <c r="G534" s="14">
        <f t="shared" si="130"/>
        <v>0</v>
      </c>
      <c r="H534" s="14">
        <f t="shared" si="130"/>
        <v>0</v>
      </c>
      <c r="I534" s="14">
        <f t="shared" si="130"/>
        <v>0</v>
      </c>
      <c r="J534" s="14">
        <f t="shared" si="130"/>
        <v>0</v>
      </c>
      <c r="L534" s="19"/>
    </row>
    <row r="535" spans="1:12" x14ac:dyDescent="0.25">
      <c r="A535" s="5" t="s">
        <v>24</v>
      </c>
      <c r="B535" s="14">
        <f t="shared" ref="B535:J535" si="131">B531+B534</f>
        <v>33.26</v>
      </c>
      <c r="C535" s="14">
        <f t="shared" si="131"/>
        <v>0</v>
      </c>
      <c r="D535" s="14">
        <f t="shared" si="131"/>
        <v>5221.83</v>
      </c>
      <c r="E535" s="14">
        <f t="shared" si="131"/>
        <v>0</v>
      </c>
      <c r="F535" s="14">
        <f t="shared" si="131"/>
        <v>0</v>
      </c>
      <c r="G535" s="14">
        <f t="shared" si="131"/>
        <v>0</v>
      </c>
      <c r="H535" s="14">
        <f t="shared" si="131"/>
        <v>0</v>
      </c>
      <c r="I535" s="14">
        <f t="shared" si="131"/>
        <v>0</v>
      </c>
      <c r="J535" s="14">
        <f t="shared" si="131"/>
        <v>5255.09</v>
      </c>
      <c r="L535" s="19"/>
    </row>
    <row r="536" spans="1:12" x14ac:dyDescent="0.25">
      <c r="A536" s="10" t="s">
        <v>64</v>
      </c>
      <c r="B536" s="14"/>
      <c r="C536" s="14"/>
      <c r="D536" s="14"/>
      <c r="E536" s="14"/>
      <c r="F536" s="14"/>
      <c r="G536" s="14"/>
      <c r="H536" s="14"/>
      <c r="I536" s="14"/>
      <c r="J536" s="14"/>
      <c r="L536" s="19"/>
    </row>
    <row r="537" spans="1:12" x14ac:dyDescent="0.25">
      <c r="A537" s="9" t="s">
        <v>11</v>
      </c>
      <c r="B537" s="14"/>
      <c r="C537" s="14"/>
      <c r="D537" s="14">
        <f>45213.83+5237.46+5237.46</f>
        <v>55688.75</v>
      </c>
      <c r="E537" s="14"/>
      <c r="F537" s="14"/>
      <c r="G537" s="14"/>
      <c r="H537" s="14"/>
      <c r="I537" s="14"/>
      <c r="J537" s="14">
        <f t="shared" ref="J537:J549" si="132">SUM(B537:I537)</f>
        <v>55688.75</v>
      </c>
      <c r="L537" s="19"/>
    </row>
    <row r="538" spans="1:12" x14ac:dyDescent="0.25">
      <c r="A538" s="9" t="s">
        <v>12</v>
      </c>
      <c r="B538" s="14"/>
      <c r="C538" s="14"/>
      <c r="D538" s="14"/>
      <c r="E538" s="14">
        <v>215.16</v>
      </c>
      <c r="F538" s="14"/>
      <c r="G538" s="14"/>
      <c r="H538" s="14"/>
      <c r="I538" s="14"/>
      <c r="J538" s="14">
        <f t="shared" si="132"/>
        <v>215.16</v>
      </c>
      <c r="L538" s="19"/>
    </row>
    <row r="539" spans="1:12" x14ac:dyDescent="0.25">
      <c r="A539" s="9" t="s">
        <v>13</v>
      </c>
      <c r="B539" s="14"/>
      <c r="C539" s="14"/>
      <c r="D539" s="14"/>
      <c r="E539" s="14"/>
      <c r="F539" s="14"/>
      <c r="G539" s="14"/>
      <c r="H539" s="14"/>
      <c r="I539" s="14"/>
      <c r="J539" s="14">
        <f t="shared" si="132"/>
        <v>0</v>
      </c>
      <c r="L539" s="19"/>
    </row>
    <row r="540" spans="1:12" x14ac:dyDescent="0.25">
      <c r="A540" s="9" t="s">
        <v>14</v>
      </c>
      <c r="B540" s="14"/>
      <c r="C540" s="14"/>
      <c r="D540" s="14">
        <v>138.56</v>
      </c>
      <c r="E540" s="14"/>
      <c r="F540" s="14"/>
      <c r="G540" s="14"/>
      <c r="H540" s="14"/>
      <c r="I540" s="14"/>
      <c r="J540" s="14">
        <f t="shared" si="132"/>
        <v>138.56</v>
      </c>
      <c r="L540" s="19"/>
    </row>
    <row r="541" spans="1:12" x14ac:dyDescent="0.25">
      <c r="A541" s="9" t="s">
        <v>15</v>
      </c>
      <c r="B541" s="14"/>
      <c r="C541" s="14"/>
      <c r="D541" s="14"/>
      <c r="E541" s="14"/>
      <c r="F541" s="14"/>
      <c r="G541" s="14"/>
      <c r="H541" s="14"/>
      <c r="I541" s="14"/>
      <c r="J541" s="14">
        <f t="shared" si="132"/>
        <v>0</v>
      </c>
      <c r="L541" s="19"/>
    </row>
    <row r="542" spans="1:12" x14ac:dyDescent="0.25">
      <c r="A542" s="9" t="s">
        <v>16</v>
      </c>
      <c r="B542" s="14"/>
      <c r="C542" s="14"/>
      <c r="D542" s="14"/>
      <c r="E542" s="14"/>
      <c r="F542" s="14"/>
      <c r="G542" s="14"/>
      <c r="H542" s="14"/>
      <c r="I542" s="14"/>
      <c r="J542" s="14">
        <f t="shared" si="132"/>
        <v>0</v>
      </c>
      <c r="L542" s="19"/>
    </row>
    <row r="543" spans="1:12" x14ac:dyDescent="0.25">
      <c r="A543" s="9" t="s">
        <v>17</v>
      </c>
      <c r="B543" s="14"/>
      <c r="C543" s="14"/>
      <c r="D543" s="14"/>
      <c r="E543" s="14"/>
      <c r="F543" s="14"/>
      <c r="G543" s="14"/>
      <c r="H543" s="14"/>
      <c r="I543" s="14"/>
      <c r="J543" s="14">
        <f t="shared" si="132"/>
        <v>0</v>
      </c>
      <c r="L543" s="19"/>
    </row>
    <row r="544" spans="1:12" x14ac:dyDescent="0.25">
      <c r="A544" s="9" t="s">
        <v>18</v>
      </c>
      <c r="B544" s="14">
        <f>178.06+23.87</f>
        <v>201.93</v>
      </c>
      <c r="C544" s="14"/>
      <c r="D544" s="14"/>
      <c r="E544" s="14"/>
      <c r="F544" s="14"/>
      <c r="G544" s="14"/>
      <c r="H544" s="14"/>
      <c r="I544" s="14"/>
      <c r="J544" s="14">
        <f t="shared" si="132"/>
        <v>201.93</v>
      </c>
      <c r="L544" s="19"/>
    </row>
    <row r="545" spans="1:12" x14ac:dyDescent="0.25">
      <c r="A545" s="9" t="s">
        <v>19</v>
      </c>
      <c r="B545" s="14"/>
      <c r="C545" s="14"/>
      <c r="D545" s="14"/>
      <c r="E545" s="14"/>
      <c r="F545" s="14"/>
      <c r="G545" s="14"/>
      <c r="H545" s="14"/>
      <c r="I545" s="14"/>
      <c r="J545" s="14">
        <f t="shared" si="132"/>
        <v>0</v>
      </c>
      <c r="L545" s="19"/>
    </row>
    <row r="546" spans="1:12" x14ac:dyDescent="0.25">
      <c r="A546" s="9" t="s">
        <v>20</v>
      </c>
      <c r="B546" s="14"/>
      <c r="C546" s="14"/>
      <c r="D546" s="14"/>
      <c r="E546" s="14"/>
      <c r="F546" s="14"/>
      <c r="G546" s="14"/>
      <c r="H546" s="14"/>
      <c r="I546" s="14"/>
      <c r="J546" s="14">
        <f t="shared" si="132"/>
        <v>0</v>
      </c>
      <c r="L546" s="19"/>
    </row>
    <row r="547" spans="1:12" x14ac:dyDescent="0.25">
      <c r="A547" s="5" t="s">
        <v>21</v>
      </c>
      <c r="B547" s="14">
        <f t="shared" ref="B547:I547" si="133">SUM(B537:B546)</f>
        <v>201.93</v>
      </c>
      <c r="C547" s="14">
        <f t="shared" si="133"/>
        <v>0</v>
      </c>
      <c r="D547" s="14">
        <f t="shared" si="133"/>
        <v>55827.31</v>
      </c>
      <c r="E547" s="14">
        <f t="shared" si="133"/>
        <v>215.16</v>
      </c>
      <c r="F547" s="14">
        <f t="shared" si="133"/>
        <v>0</v>
      </c>
      <c r="G547" s="14">
        <f t="shared" si="133"/>
        <v>0</v>
      </c>
      <c r="H547" s="14">
        <f t="shared" si="133"/>
        <v>0</v>
      </c>
      <c r="I547" s="14">
        <f t="shared" si="133"/>
        <v>0</v>
      </c>
      <c r="J547" s="14">
        <f t="shared" si="132"/>
        <v>56244.4</v>
      </c>
      <c r="L547" s="19"/>
    </row>
    <row r="548" spans="1:12" x14ac:dyDescent="0.25">
      <c r="A548" s="9" t="s">
        <v>22</v>
      </c>
      <c r="B548" s="14"/>
      <c r="C548" s="14"/>
      <c r="D548" s="14"/>
      <c r="E548" s="14"/>
      <c r="F548" s="14"/>
      <c r="G548" s="14"/>
      <c r="H548" s="14"/>
      <c r="I548" s="14"/>
      <c r="J548" s="14">
        <f t="shared" si="132"/>
        <v>0</v>
      </c>
      <c r="L548" s="19"/>
    </row>
    <row r="549" spans="1:12" x14ac:dyDescent="0.25">
      <c r="A549" s="9" t="s">
        <v>23</v>
      </c>
      <c r="B549" s="14"/>
      <c r="C549" s="14"/>
      <c r="D549" s="14"/>
      <c r="E549" s="14"/>
      <c r="F549" s="14"/>
      <c r="G549" s="14"/>
      <c r="H549" s="14"/>
      <c r="I549" s="14"/>
      <c r="J549" s="14">
        <f t="shared" si="132"/>
        <v>0</v>
      </c>
      <c r="L549" s="19"/>
    </row>
    <row r="550" spans="1:12" x14ac:dyDescent="0.25">
      <c r="A550" s="5" t="s">
        <v>42</v>
      </c>
      <c r="B550" s="14">
        <f t="shared" ref="B550:J550" si="134">SUM(B548:B549)</f>
        <v>0</v>
      </c>
      <c r="C550" s="14">
        <f t="shared" si="134"/>
        <v>0</v>
      </c>
      <c r="D550" s="14">
        <f t="shared" si="134"/>
        <v>0</v>
      </c>
      <c r="E550" s="14">
        <f t="shared" si="134"/>
        <v>0</v>
      </c>
      <c r="F550" s="14">
        <f t="shared" si="134"/>
        <v>0</v>
      </c>
      <c r="G550" s="14">
        <f t="shared" si="134"/>
        <v>0</v>
      </c>
      <c r="H550" s="14">
        <f t="shared" si="134"/>
        <v>0</v>
      </c>
      <c r="I550" s="14">
        <f t="shared" si="134"/>
        <v>0</v>
      </c>
      <c r="J550" s="14">
        <f t="shared" si="134"/>
        <v>0</v>
      </c>
      <c r="L550" s="19"/>
    </row>
    <row r="551" spans="1:12" x14ac:dyDescent="0.25">
      <c r="A551" s="5" t="s">
        <v>24</v>
      </c>
      <c r="B551" s="14">
        <f t="shared" ref="B551:J551" si="135">B547+B550</f>
        <v>201.93</v>
      </c>
      <c r="C551" s="14">
        <f t="shared" si="135"/>
        <v>0</v>
      </c>
      <c r="D551" s="14">
        <f t="shared" si="135"/>
        <v>55827.31</v>
      </c>
      <c r="E551" s="14">
        <f t="shared" si="135"/>
        <v>215.16</v>
      </c>
      <c r="F551" s="14">
        <f t="shared" si="135"/>
        <v>0</v>
      </c>
      <c r="G551" s="14">
        <f t="shared" si="135"/>
        <v>0</v>
      </c>
      <c r="H551" s="14">
        <f t="shared" si="135"/>
        <v>0</v>
      </c>
      <c r="I551" s="14">
        <f t="shared" si="135"/>
        <v>0</v>
      </c>
      <c r="J551" s="14">
        <f t="shared" si="135"/>
        <v>56244.4</v>
      </c>
      <c r="L551" s="19"/>
    </row>
    <row r="552" spans="1:12" x14ac:dyDescent="0.25">
      <c r="A552" s="10" t="s">
        <v>65</v>
      </c>
      <c r="B552" s="14"/>
      <c r="C552" s="14"/>
      <c r="D552" s="14"/>
      <c r="E552" s="14"/>
      <c r="F552" s="14"/>
      <c r="G552" s="14"/>
      <c r="H552" s="14"/>
      <c r="I552" s="14"/>
      <c r="J552" s="14"/>
      <c r="L552" s="19"/>
    </row>
    <row r="553" spans="1:12" x14ac:dyDescent="0.25">
      <c r="A553" s="9" t="s">
        <v>11</v>
      </c>
      <c r="B553" s="14"/>
      <c r="C553" s="14"/>
      <c r="D553" s="14">
        <f>45399.19+5237.46+5237.46</f>
        <v>55874.11</v>
      </c>
      <c r="E553" s="14"/>
      <c r="F553" s="14"/>
      <c r="G553" s="14"/>
      <c r="H553" s="14"/>
      <c r="I553" s="14"/>
      <c r="J553" s="14">
        <f t="shared" ref="J553:J565" si="136">SUM(B553:I553)</f>
        <v>55874.11</v>
      </c>
      <c r="L553" s="19"/>
    </row>
    <row r="554" spans="1:12" x14ac:dyDescent="0.25">
      <c r="A554" s="9" t="s">
        <v>12</v>
      </c>
      <c r="B554" s="14"/>
      <c r="C554" s="14"/>
      <c r="D554" s="14"/>
      <c r="E554" s="14">
        <v>215.16</v>
      </c>
      <c r="F554" s="14"/>
      <c r="G554" s="14"/>
      <c r="H554" s="14"/>
      <c r="I554" s="14"/>
      <c r="J554" s="14">
        <f t="shared" si="136"/>
        <v>215.16</v>
      </c>
      <c r="L554" s="19"/>
    </row>
    <row r="555" spans="1:12" x14ac:dyDescent="0.25">
      <c r="A555" s="9" t="s">
        <v>13</v>
      </c>
      <c r="B555" s="14"/>
      <c r="C555" s="14"/>
      <c r="D555" s="14"/>
      <c r="E555" s="14"/>
      <c r="F555" s="14"/>
      <c r="G555" s="14"/>
      <c r="H555" s="14"/>
      <c r="I555" s="14"/>
      <c r="J555" s="14">
        <f t="shared" si="136"/>
        <v>0</v>
      </c>
      <c r="L555" s="19"/>
    </row>
    <row r="556" spans="1:12" x14ac:dyDescent="0.25">
      <c r="A556" s="9" t="s">
        <v>14</v>
      </c>
      <c r="B556" s="14"/>
      <c r="C556" s="14"/>
      <c r="D556" s="14"/>
      <c r="E556" s="14"/>
      <c r="F556" s="14"/>
      <c r="G556" s="14"/>
      <c r="H556" s="14"/>
      <c r="I556" s="14"/>
      <c r="J556" s="14">
        <f t="shared" si="136"/>
        <v>0</v>
      </c>
      <c r="L556" s="19"/>
    </row>
    <row r="557" spans="1:12" x14ac:dyDescent="0.25">
      <c r="A557" s="9" t="s">
        <v>15</v>
      </c>
      <c r="B557" s="14"/>
      <c r="C557" s="14"/>
      <c r="D557" s="14"/>
      <c r="E557" s="14"/>
      <c r="F557" s="14"/>
      <c r="G557" s="14"/>
      <c r="H557" s="14"/>
      <c r="I557" s="14"/>
      <c r="J557" s="14">
        <f t="shared" si="136"/>
        <v>0</v>
      </c>
      <c r="L557" s="19"/>
    </row>
    <row r="558" spans="1:12" x14ac:dyDescent="0.25">
      <c r="A558" s="9" t="s">
        <v>16</v>
      </c>
      <c r="B558" s="14"/>
      <c r="C558" s="14"/>
      <c r="D558" s="14"/>
      <c r="E558" s="14"/>
      <c r="F558" s="14"/>
      <c r="G558" s="14"/>
      <c r="H558" s="14"/>
      <c r="I558" s="14"/>
      <c r="J558" s="14">
        <f t="shared" si="136"/>
        <v>0</v>
      </c>
      <c r="L558" s="19"/>
    </row>
    <row r="559" spans="1:12" x14ac:dyDescent="0.25">
      <c r="A559" s="9" t="s">
        <v>17</v>
      </c>
      <c r="B559" s="14"/>
      <c r="C559" s="14"/>
      <c r="D559" s="14"/>
      <c r="E559" s="14"/>
      <c r="F559" s="14"/>
      <c r="G559" s="14"/>
      <c r="H559" s="14"/>
      <c r="I559" s="14"/>
      <c r="J559" s="14">
        <f t="shared" si="136"/>
        <v>0</v>
      </c>
      <c r="L559" s="19"/>
    </row>
    <row r="560" spans="1:12" x14ac:dyDescent="0.25">
      <c r="A560" s="9" t="s">
        <v>18</v>
      </c>
      <c r="B560" s="14"/>
      <c r="C560" s="14"/>
      <c r="D560" s="14"/>
      <c r="E560" s="14"/>
      <c r="F560" s="14"/>
      <c r="G560" s="14"/>
      <c r="H560" s="14"/>
      <c r="I560" s="14"/>
      <c r="J560" s="14">
        <f t="shared" si="136"/>
        <v>0</v>
      </c>
      <c r="L560" s="19"/>
    </row>
    <row r="561" spans="1:12" x14ac:dyDescent="0.25">
      <c r="A561" s="9" t="s">
        <v>19</v>
      </c>
      <c r="B561" s="14"/>
      <c r="C561" s="14"/>
      <c r="D561" s="14"/>
      <c r="E561" s="14"/>
      <c r="F561" s="14"/>
      <c r="G561" s="14"/>
      <c r="H561" s="14"/>
      <c r="I561" s="14"/>
      <c r="J561" s="14">
        <f t="shared" si="136"/>
        <v>0</v>
      </c>
      <c r="L561" s="19"/>
    </row>
    <row r="562" spans="1:12" x14ac:dyDescent="0.25">
      <c r="A562" s="9" t="s">
        <v>20</v>
      </c>
      <c r="B562" s="14"/>
      <c r="C562" s="14"/>
      <c r="D562" s="14"/>
      <c r="E562" s="14"/>
      <c r="F562" s="14"/>
      <c r="G562" s="14"/>
      <c r="H562" s="14"/>
      <c r="I562" s="14"/>
      <c r="J562" s="14">
        <f t="shared" si="136"/>
        <v>0</v>
      </c>
      <c r="L562" s="19"/>
    </row>
    <row r="563" spans="1:12" x14ac:dyDescent="0.25">
      <c r="A563" s="5" t="s">
        <v>21</v>
      </c>
      <c r="B563" s="14">
        <f t="shared" ref="B563:I563" si="137">SUM(B553:B562)</f>
        <v>0</v>
      </c>
      <c r="C563" s="14">
        <f t="shared" si="137"/>
        <v>0</v>
      </c>
      <c r="D563" s="14">
        <f t="shared" si="137"/>
        <v>55874.11</v>
      </c>
      <c r="E563" s="14">
        <f t="shared" si="137"/>
        <v>215.16</v>
      </c>
      <c r="F563" s="14">
        <f t="shared" si="137"/>
        <v>0</v>
      </c>
      <c r="G563" s="14">
        <f t="shared" si="137"/>
        <v>0</v>
      </c>
      <c r="H563" s="14">
        <f t="shared" si="137"/>
        <v>0</v>
      </c>
      <c r="I563" s="14">
        <f t="shared" si="137"/>
        <v>0</v>
      </c>
      <c r="J563" s="14">
        <f t="shared" si="136"/>
        <v>56089.270000000004</v>
      </c>
      <c r="L563" s="19"/>
    </row>
    <row r="564" spans="1:12" x14ac:dyDescent="0.25">
      <c r="A564" s="9" t="s">
        <v>22</v>
      </c>
      <c r="B564" s="14"/>
      <c r="C564" s="14"/>
      <c r="D564" s="14"/>
      <c r="E564" s="14"/>
      <c r="F564" s="14"/>
      <c r="G564" s="14"/>
      <c r="H564" s="14"/>
      <c r="I564" s="14"/>
      <c r="J564" s="14">
        <f t="shared" si="136"/>
        <v>0</v>
      </c>
      <c r="L564" s="19"/>
    </row>
    <row r="565" spans="1:12" x14ac:dyDescent="0.25">
      <c r="A565" s="9" t="s">
        <v>23</v>
      </c>
      <c r="B565" s="14"/>
      <c r="C565" s="14"/>
      <c r="D565" s="14"/>
      <c r="E565" s="14"/>
      <c r="F565" s="14"/>
      <c r="G565" s="14"/>
      <c r="H565" s="14"/>
      <c r="I565" s="14"/>
      <c r="J565" s="14">
        <f t="shared" si="136"/>
        <v>0</v>
      </c>
      <c r="L565" s="19"/>
    </row>
    <row r="566" spans="1:12" x14ac:dyDescent="0.25">
      <c r="A566" s="5" t="s">
        <v>42</v>
      </c>
      <c r="B566" s="14">
        <f t="shared" ref="B566:J566" si="138">SUM(B564:B565)</f>
        <v>0</v>
      </c>
      <c r="C566" s="14">
        <f t="shared" si="138"/>
        <v>0</v>
      </c>
      <c r="D566" s="14">
        <f t="shared" si="138"/>
        <v>0</v>
      </c>
      <c r="E566" s="14">
        <f t="shared" si="138"/>
        <v>0</v>
      </c>
      <c r="F566" s="14">
        <f t="shared" si="138"/>
        <v>0</v>
      </c>
      <c r="G566" s="14">
        <f t="shared" si="138"/>
        <v>0</v>
      </c>
      <c r="H566" s="14">
        <f t="shared" si="138"/>
        <v>0</v>
      </c>
      <c r="I566" s="14">
        <f t="shared" si="138"/>
        <v>0</v>
      </c>
      <c r="J566" s="14">
        <f t="shared" si="138"/>
        <v>0</v>
      </c>
      <c r="L566" s="19"/>
    </row>
    <row r="567" spans="1:12" x14ac:dyDescent="0.25">
      <c r="A567" s="5" t="s">
        <v>24</v>
      </c>
      <c r="B567" s="14">
        <f t="shared" ref="B567:J567" si="139">B563+B566</f>
        <v>0</v>
      </c>
      <c r="C567" s="14">
        <f t="shared" si="139"/>
        <v>0</v>
      </c>
      <c r="D567" s="14">
        <f t="shared" si="139"/>
        <v>55874.11</v>
      </c>
      <c r="E567" s="14">
        <f t="shared" si="139"/>
        <v>215.16</v>
      </c>
      <c r="F567" s="14">
        <f t="shared" si="139"/>
        <v>0</v>
      </c>
      <c r="G567" s="14">
        <f t="shared" si="139"/>
        <v>0</v>
      </c>
      <c r="H567" s="14">
        <f t="shared" si="139"/>
        <v>0</v>
      </c>
      <c r="I567" s="14">
        <f t="shared" si="139"/>
        <v>0</v>
      </c>
      <c r="J567" s="14">
        <f t="shared" si="139"/>
        <v>56089.270000000004</v>
      </c>
      <c r="L567" s="19"/>
    </row>
    <row r="568" spans="1:12" x14ac:dyDescent="0.25">
      <c r="A568" s="10" t="s">
        <v>66</v>
      </c>
      <c r="B568" s="14"/>
      <c r="C568" s="14"/>
      <c r="D568" s="14"/>
      <c r="E568" s="14"/>
      <c r="F568" s="14"/>
      <c r="G568" s="14"/>
      <c r="H568" s="14"/>
      <c r="I568" s="14"/>
      <c r="J568" s="14"/>
      <c r="L568" s="19"/>
    </row>
    <row r="569" spans="1:12" x14ac:dyDescent="0.25">
      <c r="A569" s="9" t="s">
        <v>11</v>
      </c>
      <c r="B569" s="14"/>
      <c r="C569" s="14"/>
      <c r="D569" s="14">
        <f>53098.55+2938.786</f>
        <v>56037.336000000003</v>
      </c>
      <c r="E569" s="14"/>
      <c r="F569" s="14"/>
      <c r="G569" s="14"/>
      <c r="H569" s="14"/>
      <c r="I569" s="14"/>
      <c r="J569" s="14">
        <f t="shared" ref="J569:J581" si="140">SUM(B569:I569)</f>
        <v>56037.336000000003</v>
      </c>
      <c r="L569" s="19"/>
    </row>
    <row r="570" spans="1:12" x14ac:dyDescent="0.25">
      <c r="A570" s="9" t="s">
        <v>12</v>
      </c>
      <c r="B570" s="14"/>
      <c r="C570" s="14"/>
      <c r="D570" s="14">
        <v>399</v>
      </c>
      <c r="E570" s="14">
        <v>215.16</v>
      </c>
      <c r="F570" s="14"/>
      <c r="G570" s="14"/>
      <c r="H570" s="14"/>
      <c r="I570" s="14"/>
      <c r="J570" s="14">
        <f t="shared" si="140"/>
        <v>614.16</v>
      </c>
      <c r="L570" s="19"/>
    </row>
    <row r="571" spans="1:12" x14ac:dyDescent="0.25">
      <c r="A571" s="9" t="s">
        <v>13</v>
      </c>
      <c r="B571" s="14"/>
      <c r="C571" s="14"/>
      <c r="D571" s="14"/>
      <c r="E571" s="14"/>
      <c r="F571" s="14"/>
      <c r="G571" s="14"/>
      <c r="H571" s="14"/>
      <c r="I571" s="14"/>
      <c r="J571" s="14">
        <f t="shared" si="140"/>
        <v>0</v>
      </c>
      <c r="L571" s="19"/>
    </row>
    <row r="572" spans="1:12" x14ac:dyDescent="0.25">
      <c r="A572" s="9" t="s">
        <v>14</v>
      </c>
      <c r="B572" s="14"/>
      <c r="C572" s="14"/>
      <c r="D572" s="14">
        <f>138.56+297.66</f>
        <v>436.22</v>
      </c>
      <c r="E572" s="14"/>
      <c r="F572" s="14"/>
      <c r="G572" s="14"/>
      <c r="H572" s="14"/>
      <c r="I572" s="14"/>
      <c r="J572" s="14">
        <f t="shared" si="140"/>
        <v>436.22</v>
      </c>
      <c r="L572" s="19"/>
    </row>
    <row r="573" spans="1:12" x14ac:dyDescent="0.25">
      <c r="A573" s="9" t="s">
        <v>15</v>
      </c>
      <c r="B573" s="14"/>
      <c r="C573" s="14"/>
      <c r="D573" s="14"/>
      <c r="E573" s="14"/>
      <c r="F573" s="14"/>
      <c r="G573" s="14"/>
      <c r="H573" s="14"/>
      <c r="I573" s="14"/>
      <c r="J573" s="14">
        <f t="shared" si="140"/>
        <v>0</v>
      </c>
      <c r="L573" s="19"/>
    </row>
    <row r="574" spans="1:12" x14ac:dyDescent="0.25">
      <c r="A574" s="9" t="s">
        <v>16</v>
      </c>
      <c r="B574" s="14"/>
      <c r="C574" s="14"/>
      <c r="D574" s="14"/>
      <c r="E574" s="14"/>
      <c r="F574" s="14"/>
      <c r="G574" s="14"/>
      <c r="H574" s="14"/>
      <c r="I574" s="14"/>
      <c r="J574" s="14">
        <f t="shared" si="140"/>
        <v>0</v>
      </c>
      <c r="L574" s="19"/>
    </row>
    <row r="575" spans="1:12" x14ac:dyDescent="0.25">
      <c r="A575" s="9" t="s">
        <v>17</v>
      </c>
      <c r="B575" s="14"/>
      <c r="C575" s="14"/>
      <c r="D575" s="14"/>
      <c r="E575" s="14"/>
      <c r="F575" s="14"/>
      <c r="G575" s="14"/>
      <c r="H575" s="14"/>
      <c r="I575" s="14"/>
      <c r="J575" s="14">
        <f t="shared" si="140"/>
        <v>0</v>
      </c>
      <c r="L575" s="19"/>
    </row>
    <row r="576" spans="1:12" x14ac:dyDescent="0.25">
      <c r="A576" s="9" t="s">
        <v>18</v>
      </c>
      <c r="B576" s="14">
        <f>475.85+79.17</f>
        <v>555.02</v>
      </c>
      <c r="C576" s="14"/>
      <c r="D576" s="14"/>
      <c r="E576" s="14"/>
      <c r="F576" s="14"/>
      <c r="G576" s="14"/>
      <c r="H576" s="14"/>
      <c r="I576" s="14"/>
      <c r="J576" s="14">
        <f t="shared" si="140"/>
        <v>555.02</v>
      </c>
      <c r="L576" s="19"/>
    </row>
    <row r="577" spans="1:12" x14ac:dyDescent="0.25">
      <c r="A577" s="9" t="s">
        <v>19</v>
      </c>
      <c r="B577" s="14"/>
      <c r="C577" s="14"/>
      <c r="D577" s="14"/>
      <c r="E577" s="14"/>
      <c r="F577" s="14"/>
      <c r="G577" s="14"/>
      <c r="H577" s="14"/>
      <c r="I577" s="14"/>
      <c r="J577" s="14">
        <f t="shared" si="140"/>
        <v>0</v>
      </c>
      <c r="L577" s="19"/>
    </row>
    <row r="578" spans="1:12" x14ac:dyDescent="0.25">
      <c r="A578" s="9" t="s">
        <v>20</v>
      </c>
      <c r="B578" s="14"/>
      <c r="C578" s="14"/>
      <c r="D578" s="14"/>
      <c r="E578" s="14"/>
      <c r="F578" s="14"/>
      <c r="G578" s="14"/>
      <c r="H578" s="14"/>
      <c r="I578" s="14"/>
      <c r="J578" s="14">
        <f t="shared" si="140"/>
        <v>0</v>
      </c>
      <c r="L578" s="19"/>
    </row>
    <row r="579" spans="1:12" x14ac:dyDescent="0.25">
      <c r="A579" s="5" t="s">
        <v>21</v>
      </c>
      <c r="B579" s="14">
        <f t="shared" ref="B579:I579" si="141">SUM(B569:B578)</f>
        <v>555.02</v>
      </c>
      <c r="C579" s="14">
        <f t="shared" si="141"/>
        <v>0</v>
      </c>
      <c r="D579" s="14">
        <f t="shared" si="141"/>
        <v>56872.556000000004</v>
      </c>
      <c r="E579" s="14">
        <f t="shared" si="141"/>
        <v>215.16</v>
      </c>
      <c r="F579" s="14">
        <f t="shared" si="141"/>
        <v>0</v>
      </c>
      <c r="G579" s="14">
        <f t="shared" si="141"/>
        <v>0</v>
      </c>
      <c r="H579" s="14">
        <f t="shared" si="141"/>
        <v>0</v>
      </c>
      <c r="I579" s="14">
        <f t="shared" si="141"/>
        <v>0</v>
      </c>
      <c r="J579" s="14">
        <f t="shared" si="140"/>
        <v>57642.736000000004</v>
      </c>
      <c r="L579" s="19"/>
    </row>
    <row r="580" spans="1:12" x14ac:dyDescent="0.25">
      <c r="A580" s="9" t="s">
        <v>22</v>
      </c>
      <c r="B580" s="14"/>
      <c r="C580" s="14"/>
      <c r="D580" s="14"/>
      <c r="E580" s="14"/>
      <c r="F580" s="14"/>
      <c r="G580" s="14"/>
      <c r="H580" s="14"/>
      <c r="I580" s="14"/>
      <c r="J580" s="14">
        <f t="shared" si="140"/>
        <v>0</v>
      </c>
      <c r="L580" s="19"/>
    </row>
    <row r="581" spans="1:12" x14ac:dyDescent="0.25">
      <c r="A581" s="9" t="s">
        <v>23</v>
      </c>
      <c r="B581" s="14"/>
      <c r="C581" s="14"/>
      <c r="D581" s="14"/>
      <c r="E581" s="14"/>
      <c r="F581" s="14"/>
      <c r="G581" s="14"/>
      <c r="H581" s="14"/>
      <c r="I581" s="14"/>
      <c r="J581" s="14">
        <f t="shared" si="140"/>
        <v>0</v>
      </c>
      <c r="L581" s="19"/>
    </row>
    <row r="582" spans="1:12" x14ac:dyDescent="0.25">
      <c r="A582" s="5" t="s">
        <v>42</v>
      </c>
      <c r="B582" s="14">
        <f t="shared" ref="B582:J582" si="142">SUM(B580:B581)</f>
        <v>0</v>
      </c>
      <c r="C582" s="14">
        <f t="shared" si="142"/>
        <v>0</v>
      </c>
      <c r="D582" s="14">
        <f t="shared" si="142"/>
        <v>0</v>
      </c>
      <c r="E582" s="14">
        <f t="shared" si="142"/>
        <v>0</v>
      </c>
      <c r="F582" s="14">
        <f t="shared" si="142"/>
        <v>0</v>
      </c>
      <c r="G582" s="14">
        <f t="shared" si="142"/>
        <v>0</v>
      </c>
      <c r="H582" s="14">
        <f t="shared" si="142"/>
        <v>0</v>
      </c>
      <c r="I582" s="14">
        <f t="shared" si="142"/>
        <v>0</v>
      </c>
      <c r="J582" s="14">
        <f t="shared" si="142"/>
        <v>0</v>
      </c>
      <c r="L582" s="19"/>
    </row>
    <row r="583" spans="1:12" x14ac:dyDescent="0.25">
      <c r="A583" s="5" t="s">
        <v>24</v>
      </c>
      <c r="B583" s="14">
        <f t="shared" ref="B583:J583" si="143">B579+B582</f>
        <v>555.02</v>
      </c>
      <c r="C583" s="14">
        <f t="shared" si="143"/>
        <v>0</v>
      </c>
      <c r="D583" s="14">
        <f t="shared" si="143"/>
        <v>56872.556000000004</v>
      </c>
      <c r="E583" s="14">
        <f t="shared" si="143"/>
        <v>215.16</v>
      </c>
      <c r="F583" s="14">
        <f t="shared" si="143"/>
        <v>0</v>
      </c>
      <c r="G583" s="14">
        <f t="shared" si="143"/>
        <v>0</v>
      </c>
      <c r="H583" s="14">
        <f t="shared" si="143"/>
        <v>0</v>
      </c>
      <c r="I583" s="14">
        <f t="shared" si="143"/>
        <v>0</v>
      </c>
      <c r="J583" s="14">
        <f t="shared" si="143"/>
        <v>57642.736000000004</v>
      </c>
      <c r="L583" s="19"/>
    </row>
    <row r="584" spans="1:12" x14ac:dyDescent="0.25">
      <c r="A584" s="10" t="s">
        <v>67</v>
      </c>
      <c r="B584" s="14"/>
      <c r="C584" s="14"/>
      <c r="D584" s="14"/>
      <c r="E584" s="14"/>
      <c r="F584" s="14"/>
      <c r="G584" s="14"/>
      <c r="H584" s="14"/>
      <c r="I584" s="14"/>
      <c r="J584" s="14"/>
      <c r="L584" s="19"/>
    </row>
    <row r="585" spans="1:12" x14ac:dyDescent="0.25">
      <c r="A585" s="9" t="s">
        <v>11</v>
      </c>
      <c r="B585" s="14"/>
      <c r="C585" s="14"/>
      <c r="D585" s="14">
        <f>43124.11+5115.46+5115.46</f>
        <v>53355.03</v>
      </c>
      <c r="E585" s="14"/>
      <c r="F585" s="14"/>
      <c r="G585" s="14"/>
      <c r="H585" s="14"/>
      <c r="I585" s="14"/>
      <c r="J585" s="14">
        <f t="shared" ref="J585:J597" si="144">SUM(B585:I585)</f>
        <v>53355.03</v>
      </c>
      <c r="L585" s="19"/>
    </row>
    <row r="586" spans="1:12" x14ac:dyDescent="0.25">
      <c r="A586" s="9" t="s">
        <v>12</v>
      </c>
      <c r="B586" s="14"/>
      <c r="C586" s="14"/>
      <c r="D586" s="14">
        <v>399</v>
      </c>
      <c r="E586" s="14">
        <v>215.16</v>
      </c>
      <c r="F586" s="14"/>
      <c r="G586" s="14"/>
      <c r="H586" s="14"/>
      <c r="I586" s="14"/>
      <c r="J586" s="14">
        <f t="shared" si="144"/>
        <v>614.16</v>
      </c>
      <c r="L586" s="19"/>
    </row>
    <row r="587" spans="1:12" x14ac:dyDescent="0.25">
      <c r="A587" s="9" t="s">
        <v>13</v>
      </c>
      <c r="B587" s="14"/>
      <c r="C587" s="14"/>
      <c r="D587" s="14"/>
      <c r="E587" s="14"/>
      <c r="F587" s="14"/>
      <c r="G587" s="14"/>
      <c r="H587" s="14"/>
      <c r="I587" s="14"/>
      <c r="J587" s="14">
        <f t="shared" si="144"/>
        <v>0</v>
      </c>
      <c r="L587" s="19"/>
    </row>
    <row r="588" spans="1:12" x14ac:dyDescent="0.25">
      <c r="A588" s="9" t="s">
        <v>14</v>
      </c>
      <c r="B588" s="14"/>
      <c r="C588" s="14"/>
      <c r="D588" s="14">
        <f>297.66</f>
        <v>297.66000000000003</v>
      </c>
      <c r="E588" s="14"/>
      <c r="F588" s="14"/>
      <c r="G588" s="14"/>
      <c r="H588" s="14"/>
      <c r="I588" s="14"/>
      <c r="J588" s="14">
        <f t="shared" si="144"/>
        <v>297.66000000000003</v>
      </c>
      <c r="L588" s="19"/>
    </row>
    <row r="589" spans="1:12" x14ac:dyDescent="0.25">
      <c r="A589" s="9" t="s">
        <v>15</v>
      </c>
      <c r="B589" s="14"/>
      <c r="C589" s="14"/>
      <c r="D589" s="14"/>
      <c r="E589" s="14"/>
      <c r="F589" s="14"/>
      <c r="G589" s="14"/>
      <c r="H589" s="14"/>
      <c r="I589" s="14"/>
      <c r="J589" s="14">
        <f t="shared" si="144"/>
        <v>0</v>
      </c>
      <c r="L589" s="19"/>
    </row>
    <row r="590" spans="1:12" x14ac:dyDescent="0.25">
      <c r="A590" s="9" t="s">
        <v>16</v>
      </c>
      <c r="B590" s="14"/>
      <c r="C590" s="14"/>
      <c r="D590" s="14"/>
      <c r="E590" s="14"/>
      <c r="F590" s="14"/>
      <c r="G590" s="14"/>
      <c r="H590" s="14"/>
      <c r="I590" s="14"/>
      <c r="J590" s="14">
        <f t="shared" si="144"/>
        <v>0</v>
      </c>
      <c r="L590" s="19"/>
    </row>
    <row r="591" spans="1:12" x14ac:dyDescent="0.25">
      <c r="A591" s="9" t="s">
        <v>17</v>
      </c>
      <c r="B591" s="14"/>
      <c r="C591" s="14"/>
      <c r="D591" s="14"/>
      <c r="E591" s="14"/>
      <c r="F591" s="14"/>
      <c r="G591" s="14"/>
      <c r="H591" s="14"/>
      <c r="I591" s="14"/>
      <c r="J591" s="14">
        <f t="shared" si="144"/>
        <v>0</v>
      </c>
      <c r="L591" s="19"/>
    </row>
    <row r="592" spans="1:12" x14ac:dyDescent="0.25">
      <c r="A592" s="9" t="s">
        <v>18</v>
      </c>
      <c r="B592" s="14">
        <f>368.4+61.33</f>
        <v>429.72999999999996</v>
      </c>
      <c r="C592" s="14"/>
      <c r="D592" s="14"/>
      <c r="E592" s="14"/>
      <c r="F592" s="14"/>
      <c r="G592" s="14"/>
      <c r="H592" s="14"/>
      <c r="I592" s="14"/>
      <c r="J592" s="14">
        <f t="shared" si="144"/>
        <v>429.72999999999996</v>
      </c>
      <c r="L592" s="19"/>
    </row>
    <row r="593" spans="1:12" x14ac:dyDescent="0.25">
      <c r="A593" s="9" t="s">
        <v>19</v>
      </c>
      <c r="B593" s="14"/>
      <c r="C593" s="14"/>
      <c r="D593" s="14"/>
      <c r="E593" s="14"/>
      <c r="F593" s="14"/>
      <c r="G593" s="14"/>
      <c r="H593" s="14"/>
      <c r="I593" s="14"/>
      <c r="J593" s="14">
        <f t="shared" si="144"/>
        <v>0</v>
      </c>
      <c r="L593" s="19"/>
    </row>
    <row r="594" spans="1:12" x14ac:dyDescent="0.25">
      <c r="A594" s="9" t="s">
        <v>20</v>
      </c>
      <c r="B594" s="14"/>
      <c r="C594" s="14"/>
      <c r="D594" s="14"/>
      <c r="E594" s="14"/>
      <c r="F594" s="14"/>
      <c r="G594" s="14"/>
      <c r="H594" s="14"/>
      <c r="I594" s="14"/>
      <c r="J594" s="14">
        <f t="shared" si="144"/>
        <v>0</v>
      </c>
      <c r="L594" s="19"/>
    </row>
    <row r="595" spans="1:12" x14ac:dyDescent="0.25">
      <c r="A595" s="5" t="s">
        <v>21</v>
      </c>
      <c r="B595" s="14">
        <f t="shared" ref="B595:I595" si="145">SUM(B585:B594)</f>
        <v>429.72999999999996</v>
      </c>
      <c r="C595" s="14">
        <f t="shared" si="145"/>
        <v>0</v>
      </c>
      <c r="D595" s="14">
        <f t="shared" si="145"/>
        <v>54051.69</v>
      </c>
      <c r="E595" s="14">
        <f t="shared" si="145"/>
        <v>215.16</v>
      </c>
      <c r="F595" s="14">
        <f t="shared" si="145"/>
        <v>0</v>
      </c>
      <c r="G595" s="14">
        <f t="shared" si="145"/>
        <v>0</v>
      </c>
      <c r="H595" s="14">
        <f t="shared" si="145"/>
        <v>0</v>
      </c>
      <c r="I595" s="14">
        <f t="shared" si="145"/>
        <v>0</v>
      </c>
      <c r="J595" s="14">
        <f t="shared" si="144"/>
        <v>54696.580000000009</v>
      </c>
      <c r="L595" s="19"/>
    </row>
    <row r="596" spans="1:12" x14ac:dyDescent="0.25">
      <c r="A596" s="9" t="s">
        <v>22</v>
      </c>
      <c r="B596" s="14"/>
      <c r="C596" s="14"/>
      <c r="D596" s="14"/>
      <c r="E596" s="14"/>
      <c r="F596" s="14"/>
      <c r="G596" s="14"/>
      <c r="H596" s="14"/>
      <c r="I596" s="14"/>
      <c r="J596" s="14">
        <f t="shared" si="144"/>
        <v>0</v>
      </c>
      <c r="L596" s="19"/>
    </row>
    <row r="597" spans="1:12" x14ac:dyDescent="0.25">
      <c r="A597" s="9" t="s">
        <v>23</v>
      </c>
      <c r="B597" s="14"/>
      <c r="C597" s="14"/>
      <c r="D597" s="14"/>
      <c r="E597" s="14"/>
      <c r="F597" s="14"/>
      <c r="G597" s="14"/>
      <c r="H597" s="14"/>
      <c r="I597" s="14"/>
      <c r="J597" s="14">
        <f t="shared" si="144"/>
        <v>0</v>
      </c>
      <c r="L597" s="19"/>
    </row>
    <row r="598" spans="1:12" x14ac:dyDescent="0.25">
      <c r="A598" s="5" t="s">
        <v>42</v>
      </c>
      <c r="B598" s="14">
        <f t="shared" ref="B598:J598" si="146">SUM(B596:B597)</f>
        <v>0</v>
      </c>
      <c r="C598" s="14">
        <f t="shared" si="146"/>
        <v>0</v>
      </c>
      <c r="D598" s="14">
        <f t="shared" si="146"/>
        <v>0</v>
      </c>
      <c r="E598" s="14">
        <f t="shared" si="146"/>
        <v>0</v>
      </c>
      <c r="F598" s="14">
        <f t="shared" si="146"/>
        <v>0</v>
      </c>
      <c r="G598" s="14">
        <f t="shared" si="146"/>
        <v>0</v>
      </c>
      <c r="H598" s="14">
        <f t="shared" si="146"/>
        <v>0</v>
      </c>
      <c r="I598" s="14">
        <f t="shared" si="146"/>
        <v>0</v>
      </c>
      <c r="J598" s="14">
        <f t="shared" si="146"/>
        <v>0</v>
      </c>
      <c r="L598" s="19"/>
    </row>
    <row r="599" spans="1:12" x14ac:dyDescent="0.25">
      <c r="A599" s="5" t="s">
        <v>24</v>
      </c>
      <c r="B599" s="14">
        <f t="shared" ref="B599:J599" si="147">B595+B598</f>
        <v>429.72999999999996</v>
      </c>
      <c r="C599" s="14">
        <f t="shared" si="147"/>
        <v>0</v>
      </c>
      <c r="D599" s="14">
        <f t="shared" si="147"/>
        <v>54051.69</v>
      </c>
      <c r="E599" s="14">
        <f t="shared" si="147"/>
        <v>215.16</v>
      </c>
      <c r="F599" s="14">
        <f t="shared" si="147"/>
        <v>0</v>
      </c>
      <c r="G599" s="14">
        <f t="shared" si="147"/>
        <v>0</v>
      </c>
      <c r="H599" s="14">
        <f t="shared" si="147"/>
        <v>0</v>
      </c>
      <c r="I599" s="14">
        <f t="shared" si="147"/>
        <v>0</v>
      </c>
      <c r="J599" s="14">
        <f t="shared" si="147"/>
        <v>54696.580000000009</v>
      </c>
      <c r="L599" s="19"/>
    </row>
    <row r="600" spans="1:12" x14ac:dyDescent="0.25">
      <c r="A600" s="10" t="s">
        <v>68</v>
      </c>
      <c r="B600" s="14"/>
      <c r="C600" s="14"/>
      <c r="D600" s="14"/>
      <c r="E600" s="14"/>
      <c r="F600" s="14"/>
      <c r="G600" s="14"/>
      <c r="H600" s="14"/>
      <c r="I600" s="14"/>
      <c r="J600" s="14"/>
      <c r="L600" s="19"/>
    </row>
    <row r="601" spans="1:12" x14ac:dyDescent="0.25">
      <c r="A601" s="9" t="s">
        <v>11</v>
      </c>
      <c r="B601" s="14"/>
      <c r="C601" s="14"/>
      <c r="D601" s="14">
        <f>45727.7+5237.46+5237.46</f>
        <v>56202.619999999995</v>
      </c>
      <c r="E601" s="14"/>
      <c r="F601" s="14"/>
      <c r="G601" s="14"/>
      <c r="H601" s="14"/>
      <c r="I601" s="14"/>
      <c r="J601" s="14">
        <f t="shared" ref="J601:J613" si="148">SUM(B601:I601)</f>
        <v>56202.619999999995</v>
      </c>
      <c r="L601" s="19"/>
    </row>
    <row r="602" spans="1:12" x14ac:dyDescent="0.25">
      <c r="A602" s="9" t="s">
        <v>12</v>
      </c>
      <c r="B602" s="14"/>
      <c r="C602" s="14"/>
      <c r="D602" s="14">
        <v>399</v>
      </c>
      <c r="E602" s="14">
        <v>215.16</v>
      </c>
      <c r="F602" s="14"/>
      <c r="G602" s="14"/>
      <c r="H602" s="14"/>
      <c r="I602" s="14"/>
      <c r="J602" s="14">
        <f t="shared" si="148"/>
        <v>614.16</v>
      </c>
      <c r="L602" s="19"/>
    </row>
    <row r="603" spans="1:12" x14ac:dyDescent="0.25">
      <c r="A603" s="9" t="s">
        <v>13</v>
      </c>
      <c r="B603" s="14"/>
      <c r="C603" s="14"/>
      <c r="D603" s="14"/>
      <c r="E603" s="14"/>
      <c r="F603" s="14"/>
      <c r="G603" s="14"/>
      <c r="H603" s="14"/>
      <c r="I603" s="14"/>
      <c r="J603" s="14">
        <f t="shared" si="148"/>
        <v>0</v>
      </c>
      <c r="L603" s="19"/>
    </row>
    <row r="604" spans="1:12" x14ac:dyDescent="0.25">
      <c r="A604" s="9" t="s">
        <v>14</v>
      </c>
      <c r="B604" s="14"/>
      <c r="C604" s="14"/>
      <c r="D604" s="14">
        <f>138.56+297.66</f>
        <v>436.22</v>
      </c>
      <c r="E604" s="14"/>
      <c r="F604" s="14"/>
      <c r="G604" s="14"/>
      <c r="H604" s="14"/>
      <c r="I604" s="14"/>
      <c r="J604" s="14">
        <f t="shared" si="148"/>
        <v>436.22</v>
      </c>
      <c r="L604" s="19"/>
    </row>
    <row r="605" spans="1:12" x14ac:dyDescent="0.25">
      <c r="A605" s="9" t="s">
        <v>15</v>
      </c>
      <c r="B605" s="14"/>
      <c r="C605" s="14"/>
      <c r="D605" s="14"/>
      <c r="E605" s="14"/>
      <c r="F605" s="14"/>
      <c r="G605" s="14"/>
      <c r="H605" s="14"/>
      <c r="I605" s="14"/>
      <c r="J605" s="14">
        <f t="shared" si="148"/>
        <v>0</v>
      </c>
      <c r="L605" s="19"/>
    </row>
    <row r="606" spans="1:12" x14ac:dyDescent="0.25">
      <c r="A606" s="9" t="s">
        <v>16</v>
      </c>
      <c r="B606" s="14"/>
      <c r="C606" s="14"/>
      <c r="D606" s="14"/>
      <c r="E606" s="14"/>
      <c r="F606" s="14"/>
      <c r="G606" s="14"/>
      <c r="H606" s="14"/>
      <c r="I606" s="14"/>
      <c r="J606" s="14">
        <f t="shared" si="148"/>
        <v>0</v>
      </c>
      <c r="L606" s="19"/>
    </row>
    <row r="607" spans="1:12" x14ac:dyDescent="0.25">
      <c r="A607" s="9" t="s">
        <v>17</v>
      </c>
      <c r="B607" s="14"/>
      <c r="C607" s="14"/>
      <c r="D607" s="14"/>
      <c r="E607" s="14"/>
      <c r="F607" s="14"/>
      <c r="G607" s="14"/>
      <c r="H607" s="14"/>
      <c r="I607" s="14"/>
      <c r="J607" s="14">
        <f t="shared" si="148"/>
        <v>0</v>
      </c>
      <c r="L607" s="19"/>
    </row>
    <row r="608" spans="1:12" x14ac:dyDescent="0.25">
      <c r="A608" s="9" t="s">
        <v>18</v>
      </c>
      <c r="B608" s="14">
        <f>328.49+54.67</f>
        <v>383.16</v>
      </c>
      <c r="C608" s="14"/>
      <c r="D608" s="14"/>
      <c r="E608" s="14"/>
      <c r="F608" s="14"/>
      <c r="G608" s="14"/>
      <c r="H608" s="14"/>
      <c r="I608" s="14"/>
      <c r="J608" s="14">
        <f t="shared" si="148"/>
        <v>383.16</v>
      </c>
      <c r="L608" s="19"/>
    </row>
    <row r="609" spans="1:12" x14ac:dyDescent="0.25">
      <c r="A609" s="9" t="s">
        <v>19</v>
      </c>
      <c r="B609" s="14"/>
      <c r="C609" s="14"/>
      <c r="D609" s="14"/>
      <c r="E609" s="14"/>
      <c r="F609" s="14"/>
      <c r="G609" s="14"/>
      <c r="H609" s="14"/>
      <c r="I609" s="14"/>
      <c r="J609" s="14">
        <f t="shared" si="148"/>
        <v>0</v>
      </c>
      <c r="L609" s="19"/>
    </row>
    <row r="610" spans="1:12" x14ac:dyDescent="0.25">
      <c r="A610" s="9" t="s">
        <v>20</v>
      </c>
      <c r="B610" s="14"/>
      <c r="C610" s="14"/>
      <c r="D610" s="14"/>
      <c r="E610" s="14"/>
      <c r="F610" s="14"/>
      <c r="G610" s="14"/>
      <c r="H610" s="14"/>
      <c r="I610" s="14"/>
      <c r="J610" s="14">
        <f t="shared" si="148"/>
        <v>0</v>
      </c>
      <c r="L610" s="19"/>
    </row>
    <row r="611" spans="1:12" x14ac:dyDescent="0.25">
      <c r="A611" s="5" t="s">
        <v>21</v>
      </c>
      <c r="B611" s="14">
        <f t="shared" ref="B611:I611" si="149">SUM(B601:B610)</f>
        <v>383.16</v>
      </c>
      <c r="C611" s="14">
        <f t="shared" si="149"/>
        <v>0</v>
      </c>
      <c r="D611" s="14">
        <f t="shared" si="149"/>
        <v>57037.84</v>
      </c>
      <c r="E611" s="14">
        <f t="shared" si="149"/>
        <v>215.16</v>
      </c>
      <c r="F611" s="14">
        <f t="shared" si="149"/>
        <v>0</v>
      </c>
      <c r="G611" s="14">
        <f t="shared" si="149"/>
        <v>0</v>
      </c>
      <c r="H611" s="14">
        <f t="shared" si="149"/>
        <v>0</v>
      </c>
      <c r="I611" s="14">
        <f t="shared" si="149"/>
        <v>0</v>
      </c>
      <c r="J611" s="14">
        <f t="shared" si="148"/>
        <v>57636.160000000003</v>
      </c>
      <c r="L611" s="19"/>
    </row>
    <row r="612" spans="1:12" x14ac:dyDescent="0.25">
      <c r="A612" s="9" t="s">
        <v>22</v>
      </c>
      <c r="B612" s="14"/>
      <c r="C612" s="14"/>
      <c r="D612" s="14"/>
      <c r="E612" s="14"/>
      <c r="F612" s="14"/>
      <c r="G612" s="14"/>
      <c r="H612" s="14"/>
      <c r="I612" s="14"/>
      <c r="J612" s="14">
        <f t="shared" si="148"/>
        <v>0</v>
      </c>
      <c r="L612" s="19"/>
    </row>
    <row r="613" spans="1:12" x14ac:dyDescent="0.25">
      <c r="A613" s="9" t="s">
        <v>23</v>
      </c>
      <c r="B613" s="14"/>
      <c r="C613" s="14"/>
      <c r="D613" s="14"/>
      <c r="E613" s="14"/>
      <c r="F613" s="14"/>
      <c r="G613" s="14"/>
      <c r="H613" s="14"/>
      <c r="I613" s="14"/>
      <c r="J613" s="14">
        <f t="shared" si="148"/>
        <v>0</v>
      </c>
      <c r="L613" s="19"/>
    </row>
    <row r="614" spans="1:12" x14ac:dyDescent="0.25">
      <c r="A614" s="5" t="s">
        <v>42</v>
      </c>
      <c r="B614" s="14">
        <f t="shared" ref="B614:J614" si="150">SUM(B612:B613)</f>
        <v>0</v>
      </c>
      <c r="C614" s="14">
        <f t="shared" si="150"/>
        <v>0</v>
      </c>
      <c r="D614" s="14">
        <f t="shared" si="150"/>
        <v>0</v>
      </c>
      <c r="E614" s="14">
        <f t="shared" si="150"/>
        <v>0</v>
      </c>
      <c r="F614" s="14">
        <f t="shared" si="150"/>
        <v>0</v>
      </c>
      <c r="G614" s="14">
        <f t="shared" si="150"/>
        <v>0</v>
      </c>
      <c r="H614" s="14">
        <f t="shared" si="150"/>
        <v>0</v>
      </c>
      <c r="I614" s="14">
        <f t="shared" si="150"/>
        <v>0</v>
      </c>
      <c r="J614" s="14">
        <f t="shared" si="150"/>
        <v>0</v>
      </c>
      <c r="L614" s="19"/>
    </row>
    <row r="615" spans="1:12" x14ac:dyDescent="0.25">
      <c r="A615" s="5" t="s">
        <v>24</v>
      </c>
      <c r="B615" s="14">
        <f t="shared" ref="B615:J615" si="151">B611+B614</f>
        <v>383.16</v>
      </c>
      <c r="C615" s="14">
        <f t="shared" si="151"/>
        <v>0</v>
      </c>
      <c r="D615" s="14">
        <f t="shared" si="151"/>
        <v>57037.84</v>
      </c>
      <c r="E615" s="14">
        <f t="shared" si="151"/>
        <v>215.16</v>
      </c>
      <c r="F615" s="14">
        <f t="shared" si="151"/>
        <v>0</v>
      </c>
      <c r="G615" s="14">
        <f t="shared" si="151"/>
        <v>0</v>
      </c>
      <c r="H615" s="14">
        <f t="shared" si="151"/>
        <v>0</v>
      </c>
      <c r="I615" s="14">
        <f t="shared" si="151"/>
        <v>0</v>
      </c>
      <c r="J615" s="14">
        <f t="shared" si="151"/>
        <v>57636.160000000003</v>
      </c>
      <c r="L615" s="19"/>
    </row>
    <row r="616" spans="1:12" x14ac:dyDescent="0.25">
      <c r="A616" s="10" t="s">
        <v>69</v>
      </c>
      <c r="B616" s="14"/>
      <c r="C616" s="14"/>
      <c r="D616" s="14"/>
      <c r="E616" s="14"/>
      <c r="F616" s="14"/>
      <c r="G616" s="14"/>
      <c r="H616" s="14"/>
      <c r="I616" s="14"/>
      <c r="J616" s="14"/>
      <c r="L616" s="19"/>
    </row>
    <row r="617" spans="1:12" x14ac:dyDescent="0.25">
      <c r="A617" s="9" t="s">
        <v>11</v>
      </c>
      <c r="B617" s="14"/>
      <c r="C617" s="14"/>
      <c r="D617" s="14">
        <f>47812.3+4193</f>
        <v>52005.3</v>
      </c>
      <c r="E617" s="14"/>
      <c r="F617" s="14"/>
      <c r="G617" s="14"/>
      <c r="H617" s="14"/>
      <c r="I617" s="14"/>
      <c r="J617" s="14">
        <f t="shared" ref="J617:J629" si="152">SUM(B617:I617)</f>
        <v>52005.3</v>
      </c>
      <c r="L617" s="19"/>
    </row>
    <row r="618" spans="1:12" x14ac:dyDescent="0.25">
      <c r="A618" s="9" t="s">
        <v>12</v>
      </c>
      <c r="B618" s="14"/>
      <c r="C618" s="14"/>
      <c r="D618" s="14">
        <v>399</v>
      </c>
      <c r="E618" s="14">
        <v>215.16</v>
      </c>
      <c r="F618" s="14"/>
      <c r="G618" s="14"/>
      <c r="H618" s="14"/>
      <c r="I618" s="14"/>
      <c r="J618" s="14">
        <f t="shared" si="152"/>
        <v>614.16</v>
      </c>
      <c r="L618" s="19"/>
    </row>
    <row r="619" spans="1:12" x14ac:dyDescent="0.25">
      <c r="A619" s="9" t="s">
        <v>13</v>
      </c>
      <c r="B619" s="14"/>
      <c r="C619" s="14"/>
      <c r="D619" s="14"/>
      <c r="E619" s="14"/>
      <c r="F619" s="14"/>
      <c r="G619" s="14"/>
      <c r="H619" s="14"/>
      <c r="I619" s="14"/>
      <c r="J619" s="14">
        <f t="shared" si="152"/>
        <v>0</v>
      </c>
      <c r="L619" s="19"/>
    </row>
    <row r="620" spans="1:12" x14ac:dyDescent="0.25">
      <c r="A620" s="9" t="s">
        <v>14</v>
      </c>
      <c r="B620" s="14"/>
      <c r="C620" s="14"/>
      <c r="D620" s="14">
        <f>297.66</f>
        <v>297.66000000000003</v>
      </c>
      <c r="E620" s="14"/>
      <c r="F620" s="14"/>
      <c r="G620" s="14"/>
      <c r="H620" s="14"/>
      <c r="I620" s="14"/>
      <c r="J620" s="14">
        <f t="shared" si="152"/>
        <v>297.66000000000003</v>
      </c>
      <c r="L620" s="19"/>
    </row>
    <row r="621" spans="1:12" x14ac:dyDescent="0.25">
      <c r="A621" s="9" t="s">
        <v>15</v>
      </c>
      <c r="B621" s="14"/>
      <c r="C621" s="14"/>
      <c r="D621" s="14"/>
      <c r="E621" s="14"/>
      <c r="F621" s="14"/>
      <c r="G621" s="14"/>
      <c r="H621" s="14"/>
      <c r="I621" s="14"/>
      <c r="J621" s="14">
        <f t="shared" si="152"/>
        <v>0</v>
      </c>
      <c r="L621" s="19"/>
    </row>
    <row r="622" spans="1:12" x14ac:dyDescent="0.25">
      <c r="A622" s="9" t="s">
        <v>16</v>
      </c>
      <c r="B622" s="14"/>
      <c r="C622" s="14"/>
      <c r="D622" s="14"/>
      <c r="E622" s="14"/>
      <c r="F622" s="14"/>
      <c r="G622" s="14"/>
      <c r="H622" s="14"/>
      <c r="I622" s="14"/>
      <c r="J622" s="14">
        <f t="shared" si="152"/>
        <v>0</v>
      </c>
      <c r="L622" s="19"/>
    </row>
    <row r="623" spans="1:12" x14ac:dyDescent="0.25">
      <c r="A623" s="9" t="s">
        <v>17</v>
      </c>
      <c r="B623" s="14"/>
      <c r="C623" s="14"/>
      <c r="D623" s="14"/>
      <c r="E623" s="14"/>
      <c r="F623" s="14"/>
      <c r="G623" s="14"/>
      <c r="H623" s="14"/>
      <c r="I623" s="14"/>
      <c r="J623" s="14">
        <f t="shared" si="152"/>
        <v>0</v>
      </c>
      <c r="L623" s="19"/>
    </row>
    <row r="624" spans="1:12" x14ac:dyDescent="0.25">
      <c r="A624" s="9" t="s">
        <v>18</v>
      </c>
      <c r="B624" s="14">
        <f>132.01+22</f>
        <v>154.01</v>
      </c>
      <c r="C624" s="14"/>
      <c r="D624" s="14"/>
      <c r="E624" s="14"/>
      <c r="F624" s="14"/>
      <c r="G624" s="14"/>
      <c r="H624" s="14"/>
      <c r="I624" s="14"/>
      <c r="J624" s="14">
        <f t="shared" si="152"/>
        <v>154.01</v>
      </c>
      <c r="L624" s="19"/>
    </row>
    <row r="625" spans="1:12" x14ac:dyDescent="0.25">
      <c r="A625" s="9" t="s">
        <v>19</v>
      </c>
      <c r="B625" s="14"/>
      <c r="C625" s="14"/>
      <c r="D625" s="14"/>
      <c r="E625" s="14"/>
      <c r="F625" s="14"/>
      <c r="G625" s="14"/>
      <c r="H625" s="14"/>
      <c r="I625" s="14"/>
      <c r="J625" s="14">
        <f t="shared" si="152"/>
        <v>0</v>
      </c>
      <c r="L625" s="19"/>
    </row>
    <row r="626" spans="1:12" x14ac:dyDescent="0.25">
      <c r="A626" s="9" t="s">
        <v>20</v>
      </c>
      <c r="B626" s="14"/>
      <c r="C626" s="14"/>
      <c r="D626" s="14"/>
      <c r="E626" s="14"/>
      <c r="F626" s="14"/>
      <c r="G626" s="14"/>
      <c r="H626" s="14"/>
      <c r="I626" s="14"/>
      <c r="J626" s="14">
        <f t="shared" si="152"/>
        <v>0</v>
      </c>
      <c r="L626" s="19"/>
    </row>
    <row r="627" spans="1:12" x14ac:dyDescent="0.25">
      <c r="A627" s="5" t="s">
        <v>21</v>
      </c>
      <c r="B627" s="14">
        <f t="shared" ref="B627:I627" si="153">SUM(B617:B626)</f>
        <v>154.01</v>
      </c>
      <c r="C627" s="14">
        <f t="shared" si="153"/>
        <v>0</v>
      </c>
      <c r="D627" s="14">
        <f t="shared" si="153"/>
        <v>52701.960000000006</v>
      </c>
      <c r="E627" s="14">
        <f t="shared" si="153"/>
        <v>215.16</v>
      </c>
      <c r="F627" s="14">
        <f t="shared" si="153"/>
        <v>0</v>
      </c>
      <c r="G627" s="14">
        <f t="shared" si="153"/>
        <v>0</v>
      </c>
      <c r="H627" s="14">
        <f t="shared" si="153"/>
        <v>0</v>
      </c>
      <c r="I627" s="14">
        <f t="shared" si="153"/>
        <v>0</v>
      </c>
      <c r="J627" s="14">
        <f t="shared" si="152"/>
        <v>53071.130000000012</v>
      </c>
      <c r="L627" s="19"/>
    </row>
    <row r="628" spans="1:12" x14ac:dyDescent="0.25">
      <c r="A628" s="9" t="s">
        <v>22</v>
      </c>
      <c r="B628" s="14"/>
      <c r="C628" s="14"/>
      <c r="D628" s="14"/>
      <c r="E628" s="14"/>
      <c r="F628" s="14"/>
      <c r="G628" s="14"/>
      <c r="H628" s="14"/>
      <c r="I628" s="14"/>
      <c r="J628" s="14">
        <f t="shared" si="152"/>
        <v>0</v>
      </c>
      <c r="L628" s="19"/>
    </row>
    <row r="629" spans="1:12" x14ac:dyDescent="0.25">
      <c r="A629" s="9" t="s">
        <v>23</v>
      </c>
      <c r="B629" s="14"/>
      <c r="C629" s="14"/>
      <c r="D629" s="14"/>
      <c r="E629" s="14"/>
      <c r="F629" s="14"/>
      <c r="G629" s="14"/>
      <c r="H629" s="14"/>
      <c r="I629" s="14"/>
      <c r="J629" s="14">
        <f t="shared" si="152"/>
        <v>0</v>
      </c>
      <c r="L629" s="19"/>
    </row>
    <row r="630" spans="1:12" x14ac:dyDescent="0.25">
      <c r="A630" s="5" t="s">
        <v>42</v>
      </c>
      <c r="B630" s="14">
        <f t="shared" ref="B630:J630" si="154">SUM(B628:B629)</f>
        <v>0</v>
      </c>
      <c r="C630" s="14">
        <f t="shared" si="154"/>
        <v>0</v>
      </c>
      <c r="D630" s="14">
        <f t="shared" si="154"/>
        <v>0</v>
      </c>
      <c r="E630" s="14">
        <f t="shared" si="154"/>
        <v>0</v>
      </c>
      <c r="F630" s="14">
        <f t="shared" si="154"/>
        <v>0</v>
      </c>
      <c r="G630" s="14">
        <f t="shared" si="154"/>
        <v>0</v>
      </c>
      <c r="H630" s="14">
        <f t="shared" si="154"/>
        <v>0</v>
      </c>
      <c r="I630" s="14">
        <f t="shared" si="154"/>
        <v>0</v>
      </c>
      <c r="J630" s="14">
        <f t="shared" si="154"/>
        <v>0</v>
      </c>
      <c r="L630" s="19"/>
    </row>
    <row r="631" spans="1:12" x14ac:dyDescent="0.25">
      <c r="A631" s="5" t="s">
        <v>24</v>
      </c>
      <c r="B631" s="14">
        <f t="shared" ref="B631:J631" si="155">B627+B630</f>
        <v>154.01</v>
      </c>
      <c r="C631" s="14">
        <f t="shared" si="155"/>
        <v>0</v>
      </c>
      <c r="D631" s="14">
        <f t="shared" si="155"/>
        <v>52701.960000000006</v>
      </c>
      <c r="E631" s="14">
        <f t="shared" si="155"/>
        <v>215.16</v>
      </c>
      <c r="F631" s="14">
        <f t="shared" si="155"/>
        <v>0</v>
      </c>
      <c r="G631" s="14">
        <f t="shared" si="155"/>
        <v>0</v>
      </c>
      <c r="H631" s="14">
        <f t="shared" si="155"/>
        <v>0</v>
      </c>
      <c r="I631" s="14">
        <f t="shared" si="155"/>
        <v>0</v>
      </c>
      <c r="J631" s="14">
        <f t="shared" si="155"/>
        <v>53071.130000000012</v>
      </c>
      <c r="L631" s="19"/>
    </row>
    <row r="632" spans="1:12" x14ac:dyDescent="0.25">
      <c r="A632" s="10" t="s">
        <v>70</v>
      </c>
      <c r="B632" s="14"/>
      <c r="C632" s="14"/>
      <c r="D632" s="14"/>
      <c r="E632" s="14"/>
      <c r="F632" s="14"/>
      <c r="G632" s="14"/>
      <c r="H632" s="14"/>
      <c r="I632" s="14"/>
      <c r="J632" s="14"/>
      <c r="L632" s="19"/>
    </row>
    <row r="633" spans="1:12" x14ac:dyDescent="0.25">
      <c r="A633" s="9" t="s">
        <v>11</v>
      </c>
      <c r="B633" s="14"/>
      <c r="C633" s="14"/>
      <c r="D633" s="14">
        <f>36956.78+4415.54+4415.54</f>
        <v>45787.86</v>
      </c>
      <c r="E633" s="14"/>
      <c r="F633" s="14"/>
      <c r="G633" s="14"/>
      <c r="H633" s="14"/>
      <c r="I633" s="14"/>
      <c r="J633" s="14">
        <f t="shared" ref="J633:J645" si="156">SUM(B633:I633)</f>
        <v>45787.86</v>
      </c>
      <c r="L633" s="19"/>
    </row>
    <row r="634" spans="1:12" x14ac:dyDescent="0.25">
      <c r="A634" s="9" t="s">
        <v>12</v>
      </c>
      <c r="B634" s="14"/>
      <c r="C634" s="14"/>
      <c r="D634" s="14">
        <f>83+441</f>
        <v>524</v>
      </c>
      <c r="E634" s="14">
        <v>215.16</v>
      </c>
      <c r="F634" s="14"/>
      <c r="G634" s="14"/>
      <c r="H634" s="14"/>
      <c r="I634" s="14"/>
      <c r="J634" s="14">
        <f t="shared" si="156"/>
        <v>739.16</v>
      </c>
      <c r="L634" s="19"/>
    </row>
    <row r="635" spans="1:12" x14ac:dyDescent="0.25">
      <c r="A635" s="9" t="s">
        <v>13</v>
      </c>
      <c r="B635" s="14"/>
      <c r="C635" s="14"/>
      <c r="D635" s="14"/>
      <c r="E635" s="14"/>
      <c r="F635" s="14"/>
      <c r="G635" s="14"/>
      <c r="H635" s="14"/>
      <c r="I635" s="14"/>
      <c r="J635" s="14">
        <f t="shared" si="156"/>
        <v>0</v>
      </c>
      <c r="L635" s="19"/>
    </row>
    <row r="636" spans="1:12" x14ac:dyDescent="0.25">
      <c r="A636" s="9" t="s">
        <v>14</v>
      </c>
      <c r="B636" s="14"/>
      <c r="C636" s="14"/>
      <c r="D636" s="14">
        <f>138.77</f>
        <v>138.77000000000001</v>
      </c>
      <c r="E636" s="14"/>
      <c r="F636" s="14"/>
      <c r="G636" s="14"/>
      <c r="H636" s="14"/>
      <c r="I636" s="14"/>
      <c r="J636" s="14">
        <f t="shared" si="156"/>
        <v>138.77000000000001</v>
      </c>
      <c r="L636" s="19"/>
    </row>
    <row r="637" spans="1:12" x14ac:dyDescent="0.25">
      <c r="A637" s="9" t="s">
        <v>15</v>
      </c>
      <c r="B637" s="14"/>
      <c r="C637" s="14"/>
      <c r="D637" s="14">
        <v>1925.92</v>
      </c>
      <c r="E637" s="14"/>
      <c r="F637" s="14"/>
      <c r="G637" s="14"/>
      <c r="H637" s="14"/>
      <c r="I637" s="14"/>
      <c r="J637" s="14">
        <f t="shared" si="156"/>
        <v>1925.92</v>
      </c>
      <c r="L637" s="19"/>
    </row>
    <row r="638" spans="1:12" x14ac:dyDescent="0.25">
      <c r="A638" s="9" t="s">
        <v>16</v>
      </c>
      <c r="B638" s="14"/>
      <c r="C638" s="14"/>
      <c r="D638" s="14"/>
      <c r="E638" s="14"/>
      <c r="F638" s="14"/>
      <c r="G638" s="14"/>
      <c r="H638" s="14"/>
      <c r="I638" s="14"/>
      <c r="J638" s="14">
        <f t="shared" si="156"/>
        <v>0</v>
      </c>
      <c r="L638" s="19"/>
    </row>
    <row r="639" spans="1:12" x14ac:dyDescent="0.25">
      <c r="A639" s="9" t="s">
        <v>17</v>
      </c>
      <c r="B639" s="14"/>
      <c r="C639" s="14"/>
      <c r="D639" s="14"/>
      <c r="E639" s="14"/>
      <c r="F639" s="14"/>
      <c r="G639" s="14"/>
      <c r="H639" s="14"/>
      <c r="I639" s="14"/>
      <c r="J639" s="14">
        <f t="shared" si="156"/>
        <v>0</v>
      </c>
      <c r="L639" s="19"/>
    </row>
    <row r="640" spans="1:12" x14ac:dyDescent="0.25">
      <c r="A640" s="9" t="s">
        <v>18</v>
      </c>
      <c r="B640" s="14">
        <f>150.43+25.07</f>
        <v>175.5</v>
      </c>
      <c r="C640" s="14"/>
      <c r="D640" s="14"/>
      <c r="E640" s="14"/>
      <c r="F640" s="14"/>
      <c r="G640" s="14"/>
      <c r="H640" s="14"/>
      <c r="I640" s="14"/>
      <c r="J640" s="14">
        <f t="shared" si="156"/>
        <v>175.5</v>
      </c>
      <c r="L640" s="19"/>
    </row>
    <row r="641" spans="1:12" x14ac:dyDescent="0.25">
      <c r="A641" s="9" t="s">
        <v>19</v>
      </c>
      <c r="B641" s="14"/>
      <c r="C641" s="14"/>
      <c r="D641" s="14"/>
      <c r="E641" s="14"/>
      <c r="F641" s="14"/>
      <c r="G641" s="14"/>
      <c r="H641" s="14"/>
      <c r="I641" s="14"/>
      <c r="J641" s="14">
        <f t="shared" si="156"/>
        <v>0</v>
      </c>
      <c r="L641" s="19"/>
    </row>
    <row r="642" spans="1:12" x14ac:dyDescent="0.25">
      <c r="A642" s="9" t="s">
        <v>20</v>
      </c>
      <c r="B642" s="14"/>
      <c r="C642" s="14"/>
      <c r="D642" s="14"/>
      <c r="E642" s="14"/>
      <c r="F642" s="14"/>
      <c r="G642" s="14"/>
      <c r="H642" s="14"/>
      <c r="I642" s="14"/>
      <c r="J642" s="14">
        <f t="shared" si="156"/>
        <v>0</v>
      </c>
      <c r="L642" s="19"/>
    </row>
    <row r="643" spans="1:12" x14ac:dyDescent="0.25">
      <c r="A643" s="5" t="s">
        <v>21</v>
      </c>
      <c r="B643" s="14">
        <f t="shared" ref="B643:I643" si="157">SUM(B633:B642)</f>
        <v>175.5</v>
      </c>
      <c r="C643" s="14">
        <f t="shared" si="157"/>
        <v>0</v>
      </c>
      <c r="D643" s="14">
        <f t="shared" si="157"/>
        <v>48376.549999999996</v>
      </c>
      <c r="E643" s="14">
        <f t="shared" si="157"/>
        <v>215.16</v>
      </c>
      <c r="F643" s="14">
        <f t="shared" si="157"/>
        <v>0</v>
      </c>
      <c r="G643" s="14">
        <f t="shared" si="157"/>
        <v>0</v>
      </c>
      <c r="H643" s="14">
        <f t="shared" si="157"/>
        <v>0</v>
      </c>
      <c r="I643" s="14">
        <f t="shared" si="157"/>
        <v>0</v>
      </c>
      <c r="J643" s="14">
        <f t="shared" si="156"/>
        <v>48767.21</v>
      </c>
      <c r="L643" s="19"/>
    </row>
    <row r="644" spans="1:12" x14ac:dyDescent="0.25">
      <c r="A644" s="9" t="s">
        <v>22</v>
      </c>
      <c r="B644" s="14"/>
      <c r="C644" s="14"/>
      <c r="D644" s="14"/>
      <c r="E644" s="14"/>
      <c r="F644" s="14"/>
      <c r="G644" s="14"/>
      <c r="H644" s="14"/>
      <c r="I644" s="14"/>
      <c r="J644" s="14">
        <f t="shared" si="156"/>
        <v>0</v>
      </c>
      <c r="L644" s="19"/>
    </row>
    <row r="645" spans="1:12" x14ac:dyDescent="0.25">
      <c r="A645" s="9" t="s">
        <v>23</v>
      </c>
      <c r="B645" s="14"/>
      <c r="C645" s="14"/>
      <c r="D645" s="14"/>
      <c r="E645" s="14"/>
      <c r="F645" s="14"/>
      <c r="G645" s="14"/>
      <c r="H645" s="14"/>
      <c r="I645" s="14"/>
      <c r="J645" s="14">
        <f t="shared" si="156"/>
        <v>0</v>
      </c>
      <c r="L645" s="19"/>
    </row>
    <row r="646" spans="1:12" x14ac:dyDescent="0.25">
      <c r="A646" s="5" t="s">
        <v>42</v>
      </c>
      <c r="B646" s="14">
        <f t="shared" ref="B646:J646" si="158">SUM(B644:B645)</f>
        <v>0</v>
      </c>
      <c r="C646" s="14">
        <f t="shared" si="158"/>
        <v>0</v>
      </c>
      <c r="D646" s="14">
        <f t="shared" si="158"/>
        <v>0</v>
      </c>
      <c r="E646" s="14">
        <f t="shared" si="158"/>
        <v>0</v>
      </c>
      <c r="F646" s="14">
        <f t="shared" si="158"/>
        <v>0</v>
      </c>
      <c r="G646" s="14">
        <f t="shared" si="158"/>
        <v>0</v>
      </c>
      <c r="H646" s="14">
        <f t="shared" si="158"/>
        <v>0</v>
      </c>
      <c r="I646" s="14">
        <f t="shared" si="158"/>
        <v>0</v>
      </c>
      <c r="J646" s="14">
        <f t="shared" si="158"/>
        <v>0</v>
      </c>
      <c r="L646" s="19"/>
    </row>
    <row r="647" spans="1:12" x14ac:dyDescent="0.25">
      <c r="A647" s="5" t="s">
        <v>24</v>
      </c>
      <c r="B647" s="14">
        <f t="shared" ref="B647:J647" si="159">B643+B646</f>
        <v>175.5</v>
      </c>
      <c r="C647" s="14">
        <f t="shared" si="159"/>
        <v>0</v>
      </c>
      <c r="D647" s="14">
        <f t="shared" si="159"/>
        <v>48376.549999999996</v>
      </c>
      <c r="E647" s="14">
        <f t="shared" si="159"/>
        <v>215.16</v>
      </c>
      <c r="F647" s="14">
        <f t="shared" si="159"/>
        <v>0</v>
      </c>
      <c r="G647" s="14">
        <f t="shared" si="159"/>
        <v>0</v>
      </c>
      <c r="H647" s="14">
        <f t="shared" si="159"/>
        <v>0</v>
      </c>
      <c r="I647" s="14">
        <f t="shared" si="159"/>
        <v>0</v>
      </c>
      <c r="J647" s="14">
        <f t="shared" si="159"/>
        <v>48767.21</v>
      </c>
      <c r="L647" s="19"/>
    </row>
    <row r="648" spans="1:12" x14ac:dyDescent="0.25">
      <c r="A648" s="10" t="s">
        <v>111</v>
      </c>
      <c r="B648" s="14"/>
      <c r="C648" s="14"/>
      <c r="D648" s="14"/>
      <c r="E648" s="14"/>
      <c r="F648" s="14"/>
      <c r="G648" s="14"/>
      <c r="H648" s="14"/>
      <c r="I648" s="14"/>
      <c r="J648" s="14"/>
      <c r="L648" s="19"/>
    </row>
    <row r="649" spans="1:12" x14ac:dyDescent="0.25">
      <c r="A649" s="9" t="s">
        <v>11</v>
      </c>
      <c r="B649" s="14"/>
      <c r="C649" s="14"/>
      <c r="D649" s="14">
        <f>15901.48+3440.33</f>
        <v>19341.809999999998</v>
      </c>
      <c r="E649" s="14"/>
      <c r="F649" s="14"/>
      <c r="G649" s="14"/>
      <c r="H649" s="14"/>
      <c r="I649" s="14"/>
      <c r="J649" s="14">
        <f t="shared" ref="J649:J661" si="160">SUM(B649:I649)</f>
        <v>19341.809999999998</v>
      </c>
      <c r="L649" s="19"/>
    </row>
    <row r="650" spans="1:12" x14ac:dyDescent="0.25">
      <c r="A650" s="9" t="s">
        <v>12</v>
      </c>
      <c r="B650" s="14"/>
      <c r="C650" s="14"/>
      <c r="D650" s="14"/>
      <c r="E650" s="14"/>
      <c r="F650" s="14"/>
      <c r="G650" s="14"/>
      <c r="H650" s="14"/>
      <c r="I650" s="14"/>
      <c r="J650" s="14">
        <f t="shared" si="160"/>
        <v>0</v>
      </c>
      <c r="L650" s="19"/>
    </row>
    <row r="651" spans="1:12" x14ac:dyDescent="0.25">
      <c r="A651" s="9" t="s">
        <v>13</v>
      </c>
      <c r="B651" s="14"/>
      <c r="C651" s="14"/>
      <c r="D651" s="14"/>
      <c r="E651" s="14"/>
      <c r="F651" s="14"/>
      <c r="G651" s="14"/>
      <c r="H651" s="14"/>
      <c r="I651" s="14"/>
      <c r="J651" s="14">
        <f t="shared" si="160"/>
        <v>0</v>
      </c>
      <c r="L651" s="19"/>
    </row>
    <row r="652" spans="1:12" x14ac:dyDescent="0.25">
      <c r="A652" s="9" t="s">
        <v>14</v>
      </c>
      <c r="B652" s="14"/>
      <c r="C652" s="14"/>
      <c r="D652" s="14"/>
      <c r="E652" s="14"/>
      <c r="F652" s="14"/>
      <c r="G652" s="14"/>
      <c r="H652" s="14"/>
      <c r="I652" s="14"/>
      <c r="J652" s="14">
        <f t="shared" si="160"/>
        <v>0</v>
      </c>
      <c r="L652" s="19"/>
    </row>
    <row r="653" spans="1:12" x14ac:dyDescent="0.25">
      <c r="A653" s="9" t="s">
        <v>15</v>
      </c>
      <c r="B653" s="14"/>
      <c r="C653" s="14"/>
      <c r="D653" s="14"/>
      <c r="E653" s="14"/>
      <c r="F653" s="14"/>
      <c r="G653" s="14"/>
      <c r="H653" s="14"/>
      <c r="I653" s="14"/>
      <c r="J653" s="14">
        <f t="shared" si="160"/>
        <v>0</v>
      </c>
      <c r="L653" s="19"/>
    </row>
    <row r="654" spans="1:12" x14ac:dyDescent="0.25">
      <c r="A654" s="9" t="s">
        <v>16</v>
      </c>
      <c r="B654" s="14"/>
      <c r="C654" s="14"/>
      <c r="D654" s="14"/>
      <c r="E654" s="14"/>
      <c r="F654" s="14"/>
      <c r="G654" s="14"/>
      <c r="H654" s="14"/>
      <c r="I654" s="14"/>
      <c r="J654" s="14">
        <f t="shared" si="160"/>
        <v>0</v>
      </c>
      <c r="L654" s="19"/>
    </row>
    <row r="655" spans="1:12" x14ac:dyDescent="0.25">
      <c r="A655" s="9" t="s">
        <v>17</v>
      </c>
      <c r="B655" s="14"/>
      <c r="C655" s="14"/>
      <c r="D655" s="14"/>
      <c r="E655" s="14"/>
      <c r="F655" s="14"/>
      <c r="G655" s="14"/>
      <c r="H655" s="14"/>
      <c r="I655" s="14"/>
      <c r="J655" s="14">
        <f t="shared" si="160"/>
        <v>0</v>
      </c>
      <c r="L655" s="19"/>
    </row>
    <row r="656" spans="1:12" x14ac:dyDescent="0.25">
      <c r="A656" s="9" t="s">
        <v>18</v>
      </c>
      <c r="B656" s="14"/>
      <c r="C656" s="14"/>
      <c r="D656" s="14"/>
      <c r="E656" s="14"/>
      <c r="F656" s="14"/>
      <c r="G656" s="14"/>
      <c r="H656" s="14"/>
      <c r="I656" s="14"/>
      <c r="J656" s="14">
        <f t="shared" si="160"/>
        <v>0</v>
      </c>
      <c r="L656" s="19"/>
    </row>
    <row r="657" spans="1:12" x14ac:dyDescent="0.25">
      <c r="A657" s="9" t="s">
        <v>19</v>
      </c>
      <c r="B657" s="14"/>
      <c r="C657" s="14"/>
      <c r="D657" s="14"/>
      <c r="E657" s="14"/>
      <c r="F657" s="14"/>
      <c r="G657" s="14"/>
      <c r="H657" s="14"/>
      <c r="I657" s="14"/>
      <c r="J657" s="14">
        <f t="shared" si="160"/>
        <v>0</v>
      </c>
      <c r="L657" s="19"/>
    </row>
    <row r="658" spans="1:12" x14ac:dyDescent="0.25">
      <c r="A658" s="9" t="s">
        <v>20</v>
      </c>
      <c r="B658" s="14"/>
      <c r="C658" s="14"/>
      <c r="D658" s="14"/>
      <c r="E658" s="14"/>
      <c r="F658" s="14"/>
      <c r="G658" s="14"/>
      <c r="H658" s="14"/>
      <c r="I658" s="14"/>
      <c r="J658" s="14">
        <f t="shared" si="160"/>
        <v>0</v>
      </c>
      <c r="L658" s="19"/>
    </row>
    <row r="659" spans="1:12" x14ac:dyDescent="0.25">
      <c r="A659" s="5" t="s">
        <v>21</v>
      </c>
      <c r="B659" s="14">
        <f t="shared" ref="B659:I659" si="161">SUM(B649:B658)</f>
        <v>0</v>
      </c>
      <c r="C659" s="14">
        <f t="shared" si="161"/>
        <v>0</v>
      </c>
      <c r="D659" s="14">
        <f t="shared" si="161"/>
        <v>19341.809999999998</v>
      </c>
      <c r="E659" s="14">
        <f t="shared" si="161"/>
        <v>0</v>
      </c>
      <c r="F659" s="14">
        <f t="shared" si="161"/>
        <v>0</v>
      </c>
      <c r="G659" s="14">
        <f t="shared" si="161"/>
        <v>0</v>
      </c>
      <c r="H659" s="14">
        <f t="shared" si="161"/>
        <v>0</v>
      </c>
      <c r="I659" s="14">
        <f t="shared" si="161"/>
        <v>0</v>
      </c>
      <c r="J659" s="14">
        <f t="shared" si="160"/>
        <v>19341.809999999998</v>
      </c>
      <c r="L659" s="19"/>
    </row>
    <row r="660" spans="1:12" x14ac:dyDescent="0.25">
      <c r="A660" s="9" t="s">
        <v>22</v>
      </c>
      <c r="B660" s="14"/>
      <c r="C660" s="14"/>
      <c r="D660" s="14"/>
      <c r="E660" s="14"/>
      <c r="F660" s="14"/>
      <c r="G660" s="14"/>
      <c r="H660" s="14"/>
      <c r="I660" s="14"/>
      <c r="J660" s="14">
        <f t="shared" si="160"/>
        <v>0</v>
      </c>
      <c r="L660" s="19"/>
    </row>
    <row r="661" spans="1:12" x14ac:dyDescent="0.25">
      <c r="A661" s="9" t="s">
        <v>23</v>
      </c>
      <c r="B661" s="14"/>
      <c r="C661" s="14"/>
      <c r="D661" s="14"/>
      <c r="E661" s="14"/>
      <c r="F661" s="14"/>
      <c r="G661" s="14"/>
      <c r="H661" s="14"/>
      <c r="I661" s="14"/>
      <c r="J661" s="14">
        <f t="shared" si="160"/>
        <v>0</v>
      </c>
      <c r="L661" s="19"/>
    </row>
    <row r="662" spans="1:12" x14ac:dyDescent="0.25">
      <c r="A662" s="5" t="s">
        <v>42</v>
      </c>
      <c r="B662" s="14">
        <f t="shared" ref="B662:J662" si="162">SUM(B660:B661)</f>
        <v>0</v>
      </c>
      <c r="C662" s="14">
        <f t="shared" si="162"/>
        <v>0</v>
      </c>
      <c r="D662" s="14">
        <f t="shared" si="162"/>
        <v>0</v>
      </c>
      <c r="E662" s="14">
        <f t="shared" si="162"/>
        <v>0</v>
      </c>
      <c r="F662" s="14">
        <f t="shared" si="162"/>
        <v>0</v>
      </c>
      <c r="G662" s="14">
        <f t="shared" si="162"/>
        <v>0</v>
      </c>
      <c r="H662" s="14">
        <f t="shared" si="162"/>
        <v>0</v>
      </c>
      <c r="I662" s="14">
        <f t="shared" si="162"/>
        <v>0</v>
      </c>
      <c r="J662" s="14">
        <f t="shared" si="162"/>
        <v>0</v>
      </c>
      <c r="L662" s="19"/>
    </row>
    <row r="663" spans="1:12" x14ac:dyDescent="0.25">
      <c r="A663" s="5" t="s">
        <v>24</v>
      </c>
      <c r="B663" s="14">
        <f t="shared" ref="B663:J663" si="163">B659+B662</f>
        <v>0</v>
      </c>
      <c r="C663" s="14">
        <f t="shared" si="163"/>
        <v>0</v>
      </c>
      <c r="D663" s="14">
        <f t="shared" si="163"/>
        <v>19341.809999999998</v>
      </c>
      <c r="E663" s="14">
        <f t="shared" si="163"/>
        <v>0</v>
      </c>
      <c r="F663" s="14">
        <f t="shared" si="163"/>
        <v>0</v>
      </c>
      <c r="G663" s="14">
        <f t="shared" si="163"/>
        <v>0</v>
      </c>
      <c r="H663" s="14">
        <f t="shared" si="163"/>
        <v>0</v>
      </c>
      <c r="I663" s="14">
        <f t="shared" si="163"/>
        <v>0</v>
      </c>
      <c r="J663" s="14">
        <f t="shared" si="163"/>
        <v>19341.809999999998</v>
      </c>
      <c r="L663" s="19"/>
    </row>
    <row r="664" spans="1:12" x14ac:dyDescent="0.25">
      <c r="A664" s="10" t="s">
        <v>71</v>
      </c>
      <c r="B664" s="14"/>
      <c r="C664" s="14"/>
      <c r="D664" s="14"/>
      <c r="E664" s="14"/>
      <c r="F664" s="14"/>
      <c r="G664" s="14"/>
      <c r="H664" s="14"/>
      <c r="I664" s="14"/>
      <c r="J664" s="14"/>
      <c r="L664" s="19"/>
    </row>
    <row r="665" spans="1:12" x14ac:dyDescent="0.25">
      <c r="A665" s="9" t="s">
        <v>11</v>
      </c>
      <c r="B665" s="14"/>
      <c r="C665" s="14"/>
      <c r="D665" s="14">
        <f>66951.72+12265.49+7000</f>
        <v>86217.21</v>
      </c>
      <c r="E665" s="14"/>
      <c r="F665" s="14"/>
      <c r="G665" s="14"/>
      <c r="H665" s="14"/>
      <c r="I665" s="14"/>
      <c r="J665" s="14">
        <f t="shared" ref="J665:J677" si="164">SUM(B665:I665)</f>
        <v>86217.21</v>
      </c>
      <c r="L665" s="19"/>
    </row>
    <row r="666" spans="1:12" x14ac:dyDescent="0.25">
      <c r="A666" s="9" t="s">
        <v>12</v>
      </c>
      <c r="B666" s="14"/>
      <c r="C666" s="14"/>
      <c r="D666" s="14">
        <f>435+1557</f>
        <v>1992</v>
      </c>
      <c r="E666" s="14">
        <v>215.16</v>
      </c>
      <c r="F666" s="14"/>
      <c r="G666" s="14"/>
      <c r="H666" s="14"/>
      <c r="I666" s="14"/>
      <c r="J666" s="14">
        <f t="shared" si="164"/>
        <v>2207.16</v>
      </c>
      <c r="L666" s="19"/>
    </row>
    <row r="667" spans="1:12" x14ac:dyDescent="0.25">
      <c r="A667" s="9" t="s">
        <v>13</v>
      </c>
      <c r="B667" s="14"/>
      <c r="C667" s="14"/>
      <c r="D667" s="14"/>
      <c r="E667" s="14"/>
      <c r="F667" s="14"/>
      <c r="G667" s="14"/>
      <c r="H667" s="14"/>
      <c r="I667" s="14"/>
      <c r="J667" s="14">
        <f t="shared" si="164"/>
        <v>0</v>
      </c>
      <c r="L667" s="19"/>
    </row>
    <row r="668" spans="1:12" x14ac:dyDescent="0.25">
      <c r="A668" s="9" t="s">
        <v>14</v>
      </c>
      <c r="B668" s="14"/>
      <c r="C668" s="14"/>
      <c r="D668" s="14"/>
      <c r="E668" s="14"/>
      <c r="F668" s="14"/>
      <c r="G668" s="14"/>
      <c r="H668" s="14"/>
      <c r="I668" s="14"/>
      <c r="J668" s="14">
        <f t="shared" si="164"/>
        <v>0</v>
      </c>
      <c r="L668" s="19"/>
    </row>
    <row r="669" spans="1:12" x14ac:dyDescent="0.25">
      <c r="A669" s="9" t="s">
        <v>15</v>
      </c>
      <c r="B669" s="14"/>
      <c r="C669" s="14"/>
      <c r="D669" s="14"/>
      <c r="E669" s="14"/>
      <c r="F669" s="14"/>
      <c r="G669" s="14"/>
      <c r="H669" s="14"/>
      <c r="I669" s="14"/>
      <c r="J669" s="14">
        <f t="shared" si="164"/>
        <v>0</v>
      </c>
      <c r="L669" s="19"/>
    </row>
    <row r="670" spans="1:12" x14ac:dyDescent="0.25">
      <c r="A670" s="9" t="s">
        <v>16</v>
      </c>
      <c r="B670" s="14"/>
      <c r="C670" s="14"/>
      <c r="D670" s="14"/>
      <c r="E670" s="14"/>
      <c r="F670" s="14"/>
      <c r="G670" s="14"/>
      <c r="H670" s="14"/>
      <c r="I670" s="14"/>
      <c r="J670" s="14">
        <f t="shared" si="164"/>
        <v>0</v>
      </c>
      <c r="L670" s="19"/>
    </row>
    <row r="671" spans="1:12" x14ac:dyDescent="0.25">
      <c r="A671" s="9" t="s">
        <v>17</v>
      </c>
      <c r="B671" s="14"/>
      <c r="C671" s="14"/>
      <c r="D671" s="14"/>
      <c r="E671" s="14"/>
      <c r="F671" s="14"/>
      <c r="G671" s="14"/>
      <c r="H671" s="14"/>
      <c r="I671" s="14"/>
      <c r="J671" s="14">
        <f t="shared" si="164"/>
        <v>0</v>
      </c>
      <c r="L671" s="19"/>
    </row>
    <row r="672" spans="1:12" x14ac:dyDescent="0.25">
      <c r="A672" s="9" t="s">
        <v>18</v>
      </c>
      <c r="B672" s="14">
        <f>334.82+887.23</f>
        <v>1222.05</v>
      </c>
      <c r="C672" s="14"/>
      <c r="D672" s="14"/>
      <c r="E672" s="14"/>
      <c r="F672" s="14"/>
      <c r="G672" s="14"/>
      <c r="H672" s="14"/>
      <c r="I672" s="14"/>
      <c r="J672" s="14">
        <f t="shared" si="164"/>
        <v>1222.05</v>
      </c>
      <c r="L672" s="19"/>
    </row>
    <row r="673" spans="1:12" x14ac:dyDescent="0.25">
      <c r="A673" s="9" t="s">
        <v>19</v>
      </c>
      <c r="B673" s="14"/>
      <c r="C673" s="14"/>
      <c r="D673" s="14"/>
      <c r="E673" s="14"/>
      <c r="F673" s="14"/>
      <c r="G673" s="14"/>
      <c r="H673" s="14"/>
      <c r="I673" s="14"/>
      <c r="J673" s="14">
        <f t="shared" si="164"/>
        <v>0</v>
      </c>
      <c r="L673" s="19"/>
    </row>
    <row r="674" spans="1:12" x14ac:dyDescent="0.25">
      <c r="A674" s="9" t="s">
        <v>20</v>
      </c>
      <c r="B674" s="14">
        <v>3799.91</v>
      </c>
      <c r="C674" s="14"/>
      <c r="D674" s="14"/>
      <c r="E674" s="14"/>
      <c r="F674" s="14"/>
      <c r="G674" s="14"/>
      <c r="H674" s="14"/>
      <c r="I674" s="14"/>
      <c r="J674" s="14">
        <f t="shared" si="164"/>
        <v>3799.91</v>
      </c>
      <c r="L674" s="19"/>
    </row>
    <row r="675" spans="1:12" x14ac:dyDescent="0.25">
      <c r="A675" s="5" t="s">
        <v>21</v>
      </c>
      <c r="B675" s="14">
        <f t="shared" ref="B675:I675" si="165">SUM(B665:B674)</f>
        <v>5021.96</v>
      </c>
      <c r="C675" s="14">
        <f t="shared" si="165"/>
        <v>0</v>
      </c>
      <c r="D675" s="14">
        <f t="shared" si="165"/>
        <v>88209.21</v>
      </c>
      <c r="E675" s="14">
        <f t="shared" si="165"/>
        <v>215.16</v>
      </c>
      <c r="F675" s="14">
        <f t="shared" si="165"/>
        <v>0</v>
      </c>
      <c r="G675" s="14">
        <f t="shared" si="165"/>
        <v>0</v>
      </c>
      <c r="H675" s="14">
        <f t="shared" si="165"/>
        <v>0</v>
      </c>
      <c r="I675" s="14">
        <f t="shared" si="165"/>
        <v>0</v>
      </c>
      <c r="J675" s="14">
        <f t="shared" si="164"/>
        <v>93446.330000000016</v>
      </c>
      <c r="L675" s="19"/>
    </row>
    <row r="676" spans="1:12" x14ac:dyDescent="0.25">
      <c r="A676" s="9" t="s">
        <v>22</v>
      </c>
      <c r="B676" s="14"/>
      <c r="C676" s="14"/>
      <c r="D676" s="14"/>
      <c r="E676" s="14"/>
      <c r="F676" s="14"/>
      <c r="G676" s="14"/>
      <c r="H676" s="14"/>
      <c r="I676" s="14"/>
      <c r="J676" s="14">
        <f t="shared" si="164"/>
        <v>0</v>
      </c>
      <c r="L676" s="19"/>
    </row>
    <row r="677" spans="1:12" x14ac:dyDescent="0.25">
      <c r="A677" s="9" t="s">
        <v>23</v>
      </c>
      <c r="B677" s="14"/>
      <c r="C677" s="14"/>
      <c r="D677" s="14"/>
      <c r="E677" s="14"/>
      <c r="F677" s="14"/>
      <c r="G677" s="14"/>
      <c r="H677" s="14"/>
      <c r="I677" s="14"/>
      <c r="J677" s="14">
        <f t="shared" si="164"/>
        <v>0</v>
      </c>
      <c r="L677" s="19"/>
    </row>
    <row r="678" spans="1:12" x14ac:dyDescent="0.25">
      <c r="A678" s="5" t="s">
        <v>42</v>
      </c>
      <c r="B678" s="14">
        <f t="shared" ref="B678:J678" si="166">SUM(B676:B677)</f>
        <v>0</v>
      </c>
      <c r="C678" s="14">
        <f t="shared" si="166"/>
        <v>0</v>
      </c>
      <c r="D678" s="14">
        <f t="shared" si="166"/>
        <v>0</v>
      </c>
      <c r="E678" s="14">
        <f t="shared" si="166"/>
        <v>0</v>
      </c>
      <c r="F678" s="14">
        <f t="shared" si="166"/>
        <v>0</v>
      </c>
      <c r="G678" s="14">
        <f t="shared" si="166"/>
        <v>0</v>
      </c>
      <c r="H678" s="14">
        <f t="shared" si="166"/>
        <v>0</v>
      </c>
      <c r="I678" s="14">
        <f t="shared" si="166"/>
        <v>0</v>
      </c>
      <c r="J678" s="14">
        <f t="shared" si="166"/>
        <v>0</v>
      </c>
      <c r="L678" s="19"/>
    </row>
    <row r="679" spans="1:12" x14ac:dyDescent="0.25">
      <c r="A679" s="5" t="s">
        <v>24</v>
      </c>
      <c r="B679" s="14">
        <f t="shared" ref="B679:J679" si="167">B675+B678</f>
        <v>5021.96</v>
      </c>
      <c r="C679" s="14">
        <f t="shared" si="167"/>
        <v>0</v>
      </c>
      <c r="D679" s="14">
        <f t="shared" si="167"/>
        <v>88209.21</v>
      </c>
      <c r="E679" s="14">
        <f t="shared" si="167"/>
        <v>215.16</v>
      </c>
      <c r="F679" s="14">
        <f t="shared" si="167"/>
        <v>0</v>
      </c>
      <c r="G679" s="14">
        <f t="shared" si="167"/>
        <v>0</v>
      </c>
      <c r="H679" s="14">
        <f t="shared" si="167"/>
        <v>0</v>
      </c>
      <c r="I679" s="14">
        <f t="shared" si="167"/>
        <v>0</v>
      </c>
      <c r="J679" s="14">
        <f t="shared" si="167"/>
        <v>93446.330000000016</v>
      </c>
      <c r="L679" s="19"/>
    </row>
    <row r="680" spans="1:12" x14ac:dyDescent="0.25">
      <c r="A680" s="10" t="s">
        <v>72</v>
      </c>
      <c r="B680" s="14"/>
      <c r="C680" s="14"/>
      <c r="D680" s="14"/>
      <c r="E680" s="14"/>
      <c r="F680" s="14"/>
      <c r="G680" s="14"/>
      <c r="H680" s="14"/>
      <c r="I680" s="14"/>
      <c r="J680" s="14"/>
      <c r="L680" s="19"/>
    </row>
    <row r="681" spans="1:12" x14ac:dyDescent="0.25">
      <c r="A681" s="9" t="s">
        <v>11</v>
      </c>
      <c r="B681" s="14"/>
      <c r="C681" s="14"/>
      <c r="D681" s="14"/>
      <c r="E681" s="14"/>
      <c r="F681" s="14"/>
      <c r="G681" s="14"/>
      <c r="H681" s="14"/>
      <c r="I681" s="14"/>
      <c r="J681" s="14">
        <f t="shared" ref="J681:J693" si="168">SUM(B681:I681)</f>
        <v>0</v>
      </c>
      <c r="L681" s="19"/>
    </row>
    <row r="682" spans="1:12" x14ac:dyDescent="0.25">
      <c r="A682" s="9" t="s">
        <v>12</v>
      </c>
      <c r="B682" s="14"/>
      <c r="C682" s="14"/>
      <c r="D682" s="14"/>
      <c r="E682" s="14"/>
      <c r="F682" s="14"/>
      <c r="G682" s="14"/>
      <c r="H682" s="14"/>
      <c r="I682" s="14"/>
      <c r="J682" s="14">
        <f t="shared" si="168"/>
        <v>0</v>
      </c>
      <c r="L682" s="19"/>
    </row>
    <row r="683" spans="1:12" x14ac:dyDescent="0.25">
      <c r="A683" s="9" t="s">
        <v>13</v>
      </c>
      <c r="B683" s="14"/>
      <c r="C683" s="14"/>
      <c r="D683" s="14"/>
      <c r="E683" s="14"/>
      <c r="F683" s="14"/>
      <c r="G683" s="14"/>
      <c r="H683" s="14"/>
      <c r="I683" s="14"/>
      <c r="J683" s="14">
        <f t="shared" si="168"/>
        <v>0</v>
      </c>
      <c r="L683" s="19"/>
    </row>
    <row r="684" spans="1:12" x14ac:dyDescent="0.25">
      <c r="A684" s="9" t="s">
        <v>14</v>
      </c>
      <c r="B684" s="14"/>
      <c r="C684" s="14"/>
      <c r="D684" s="14"/>
      <c r="E684" s="14"/>
      <c r="F684" s="14"/>
      <c r="G684" s="14"/>
      <c r="H684" s="14"/>
      <c r="I684" s="14"/>
      <c r="J684" s="14">
        <f t="shared" si="168"/>
        <v>0</v>
      </c>
      <c r="L684" s="19"/>
    </row>
    <row r="685" spans="1:12" x14ac:dyDescent="0.25">
      <c r="A685" s="9" t="s">
        <v>15</v>
      </c>
      <c r="B685" s="14"/>
      <c r="C685" s="14"/>
      <c r="D685" s="14"/>
      <c r="E685" s="14"/>
      <c r="F685" s="14"/>
      <c r="G685" s="14"/>
      <c r="H685" s="14"/>
      <c r="I685" s="14"/>
      <c r="J685" s="14">
        <f t="shared" si="168"/>
        <v>0</v>
      </c>
      <c r="L685" s="19"/>
    </row>
    <row r="686" spans="1:12" x14ac:dyDescent="0.25">
      <c r="A686" s="9" t="s">
        <v>16</v>
      </c>
      <c r="B686" s="14"/>
      <c r="C686" s="14"/>
      <c r="D686" s="14"/>
      <c r="E686" s="14"/>
      <c r="F686" s="14"/>
      <c r="G686" s="14"/>
      <c r="H686" s="14"/>
      <c r="I686" s="14"/>
      <c r="J686" s="14">
        <f t="shared" si="168"/>
        <v>0</v>
      </c>
      <c r="L686" s="19"/>
    </row>
    <row r="687" spans="1:12" x14ac:dyDescent="0.25">
      <c r="A687" s="9" t="s">
        <v>17</v>
      </c>
      <c r="B687" s="14"/>
      <c r="C687" s="14"/>
      <c r="D687" s="14"/>
      <c r="E687" s="14"/>
      <c r="F687" s="14"/>
      <c r="G687" s="14"/>
      <c r="H687" s="14"/>
      <c r="I687" s="14"/>
      <c r="J687" s="14">
        <f t="shared" si="168"/>
        <v>0</v>
      </c>
      <c r="L687" s="19"/>
    </row>
    <row r="688" spans="1:12" x14ac:dyDescent="0.25">
      <c r="A688" s="9" t="s">
        <v>18</v>
      </c>
      <c r="B688" s="14"/>
      <c r="C688" s="14"/>
      <c r="D688" s="14"/>
      <c r="E688" s="14"/>
      <c r="F688" s="14"/>
      <c r="G688" s="14"/>
      <c r="H688" s="14"/>
      <c r="I688" s="14"/>
      <c r="J688" s="14">
        <f t="shared" si="168"/>
        <v>0</v>
      </c>
      <c r="L688" s="19"/>
    </row>
    <row r="689" spans="1:12" x14ac:dyDescent="0.25">
      <c r="A689" s="9" t="s">
        <v>19</v>
      </c>
      <c r="B689" s="14"/>
      <c r="C689" s="14"/>
      <c r="D689" s="14"/>
      <c r="E689" s="14"/>
      <c r="F689" s="14"/>
      <c r="G689" s="14"/>
      <c r="H689" s="14"/>
      <c r="I689" s="14"/>
      <c r="J689" s="14">
        <f t="shared" si="168"/>
        <v>0</v>
      </c>
      <c r="L689" s="19"/>
    </row>
    <row r="690" spans="1:12" x14ac:dyDescent="0.25">
      <c r="A690" s="9" t="s">
        <v>20</v>
      </c>
      <c r="B690" s="14"/>
      <c r="C690" s="14"/>
      <c r="D690" s="14"/>
      <c r="E690" s="14"/>
      <c r="F690" s="14"/>
      <c r="G690" s="14"/>
      <c r="H690" s="14"/>
      <c r="I690" s="14"/>
      <c r="J690" s="14">
        <f t="shared" si="168"/>
        <v>0</v>
      </c>
      <c r="L690" s="19"/>
    </row>
    <row r="691" spans="1:12" x14ac:dyDescent="0.25">
      <c r="A691" s="5" t="s">
        <v>21</v>
      </c>
      <c r="B691" s="14">
        <f t="shared" ref="B691:I691" si="169">SUM(B681:B690)</f>
        <v>0</v>
      </c>
      <c r="C691" s="14">
        <f t="shared" si="169"/>
        <v>0</v>
      </c>
      <c r="D691" s="14">
        <f t="shared" si="169"/>
        <v>0</v>
      </c>
      <c r="E691" s="14">
        <f t="shared" si="169"/>
        <v>0</v>
      </c>
      <c r="F691" s="14">
        <f t="shared" si="169"/>
        <v>0</v>
      </c>
      <c r="G691" s="14">
        <f t="shared" si="169"/>
        <v>0</v>
      </c>
      <c r="H691" s="14">
        <f t="shared" si="169"/>
        <v>0</v>
      </c>
      <c r="I691" s="14">
        <f t="shared" si="169"/>
        <v>0</v>
      </c>
      <c r="J691" s="14">
        <f t="shared" si="168"/>
        <v>0</v>
      </c>
      <c r="L691" s="19"/>
    </row>
    <row r="692" spans="1:12" x14ac:dyDescent="0.25">
      <c r="A692" s="9" t="s">
        <v>22</v>
      </c>
      <c r="B692" s="14"/>
      <c r="C692" s="14"/>
      <c r="D692" s="14"/>
      <c r="E692" s="14"/>
      <c r="F692" s="14"/>
      <c r="G692" s="14"/>
      <c r="H692" s="14"/>
      <c r="I692" s="14"/>
      <c r="J692" s="14">
        <f t="shared" si="168"/>
        <v>0</v>
      </c>
      <c r="L692" s="19"/>
    </row>
    <row r="693" spans="1:12" x14ac:dyDescent="0.25">
      <c r="A693" s="9" t="s">
        <v>23</v>
      </c>
      <c r="B693" s="14"/>
      <c r="C693" s="14"/>
      <c r="D693" s="14"/>
      <c r="E693" s="14"/>
      <c r="F693" s="14"/>
      <c r="G693" s="14"/>
      <c r="H693" s="14"/>
      <c r="I693" s="14"/>
      <c r="J693" s="14">
        <f t="shared" si="168"/>
        <v>0</v>
      </c>
      <c r="L693" s="19"/>
    </row>
    <row r="694" spans="1:12" x14ac:dyDescent="0.25">
      <c r="A694" s="5" t="s">
        <v>42</v>
      </c>
      <c r="B694" s="14">
        <f t="shared" ref="B694:J694" si="170">SUM(B692:B693)</f>
        <v>0</v>
      </c>
      <c r="C694" s="14">
        <f t="shared" si="170"/>
        <v>0</v>
      </c>
      <c r="D694" s="14">
        <f t="shared" si="170"/>
        <v>0</v>
      </c>
      <c r="E694" s="14">
        <f t="shared" si="170"/>
        <v>0</v>
      </c>
      <c r="F694" s="14">
        <f t="shared" si="170"/>
        <v>0</v>
      </c>
      <c r="G694" s="14">
        <f t="shared" si="170"/>
        <v>0</v>
      </c>
      <c r="H694" s="14">
        <f t="shared" si="170"/>
        <v>0</v>
      </c>
      <c r="I694" s="14">
        <f t="shared" si="170"/>
        <v>0</v>
      </c>
      <c r="J694" s="14">
        <f t="shared" si="170"/>
        <v>0</v>
      </c>
      <c r="L694" s="19"/>
    </row>
    <row r="695" spans="1:12" x14ac:dyDescent="0.25">
      <c r="A695" s="5" t="s">
        <v>24</v>
      </c>
      <c r="B695" s="14">
        <f t="shared" ref="B695:J695" si="171">B691+B694</f>
        <v>0</v>
      </c>
      <c r="C695" s="14">
        <f t="shared" si="171"/>
        <v>0</v>
      </c>
      <c r="D695" s="14">
        <f t="shared" si="171"/>
        <v>0</v>
      </c>
      <c r="E695" s="14">
        <f t="shared" si="171"/>
        <v>0</v>
      </c>
      <c r="F695" s="14">
        <f t="shared" si="171"/>
        <v>0</v>
      </c>
      <c r="G695" s="14">
        <f t="shared" si="171"/>
        <v>0</v>
      </c>
      <c r="H695" s="14">
        <f t="shared" si="171"/>
        <v>0</v>
      </c>
      <c r="I695" s="14">
        <f t="shared" si="171"/>
        <v>0</v>
      </c>
      <c r="J695" s="14">
        <f t="shared" si="171"/>
        <v>0</v>
      </c>
      <c r="L695" s="19"/>
    </row>
    <row r="696" spans="1:12" x14ac:dyDescent="0.25">
      <c r="A696" s="10" t="s">
        <v>73</v>
      </c>
      <c r="B696" s="14"/>
      <c r="C696" s="14"/>
      <c r="D696" s="14"/>
      <c r="E696" s="14"/>
      <c r="F696" s="14"/>
      <c r="G696" s="14"/>
      <c r="H696" s="14"/>
      <c r="I696" s="14"/>
      <c r="J696" s="14"/>
      <c r="L696" s="19"/>
    </row>
    <row r="697" spans="1:12" x14ac:dyDescent="0.25">
      <c r="A697" s="9" t="s">
        <v>11</v>
      </c>
      <c r="B697" s="14"/>
      <c r="C697" s="14"/>
      <c r="D697" s="14"/>
      <c r="E697" s="14"/>
      <c r="F697" s="14"/>
      <c r="G697" s="14"/>
      <c r="H697" s="14"/>
      <c r="I697" s="14"/>
      <c r="J697" s="14">
        <f t="shared" ref="J697:J709" si="172">SUM(B697:I697)</f>
        <v>0</v>
      </c>
      <c r="L697" s="19"/>
    </row>
    <row r="698" spans="1:12" x14ac:dyDescent="0.25">
      <c r="A698" s="9" t="s">
        <v>12</v>
      </c>
      <c r="B698" s="14"/>
      <c r="C698" s="14"/>
      <c r="D698" s="14"/>
      <c r="E698" s="14"/>
      <c r="F698" s="14"/>
      <c r="G698" s="14"/>
      <c r="H698" s="14"/>
      <c r="I698" s="14"/>
      <c r="J698" s="14">
        <f t="shared" si="172"/>
        <v>0</v>
      </c>
      <c r="L698" s="19"/>
    </row>
    <row r="699" spans="1:12" x14ac:dyDescent="0.25">
      <c r="A699" s="9" t="s">
        <v>13</v>
      </c>
      <c r="B699" s="14"/>
      <c r="C699" s="14"/>
      <c r="D699" s="14"/>
      <c r="E699" s="14"/>
      <c r="F699" s="14"/>
      <c r="G699" s="14"/>
      <c r="H699" s="14"/>
      <c r="I699" s="14"/>
      <c r="J699" s="14">
        <f t="shared" si="172"/>
        <v>0</v>
      </c>
      <c r="L699" s="19"/>
    </row>
    <row r="700" spans="1:12" x14ac:dyDescent="0.25">
      <c r="A700" s="9" t="s">
        <v>14</v>
      </c>
      <c r="B700" s="14"/>
      <c r="C700" s="14"/>
      <c r="D700" s="14"/>
      <c r="E700" s="14"/>
      <c r="F700" s="14"/>
      <c r="G700" s="14"/>
      <c r="H700" s="14"/>
      <c r="I700" s="14"/>
      <c r="J700" s="14">
        <f t="shared" si="172"/>
        <v>0</v>
      </c>
      <c r="L700" s="19"/>
    </row>
    <row r="701" spans="1:12" x14ac:dyDescent="0.25">
      <c r="A701" s="9" t="s">
        <v>15</v>
      </c>
      <c r="B701" s="14"/>
      <c r="C701" s="14"/>
      <c r="D701" s="14"/>
      <c r="E701" s="14"/>
      <c r="F701" s="14"/>
      <c r="G701" s="14"/>
      <c r="H701" s="14"/>
      <c r="I701" s="14"/>
      <c r="J701" s="14">
        <f t="shared" si="172"/>
        <v>0</v>
      </c>
      <c r="L701" s="19"/>
    </row>
    <row r="702" spans="1:12" x14ac:dyDescent="0.25">
      <c r="A702" s="9" t="s">
        <v>16</v>
      </c>
      <c r="B702" s="14"/>
      <c r="C702" s="14"/>
      <c r="D702" s="14"/>
      <c r="E702" s="14"/>
      <c r="F702" s="14"/>
      <c r="G702" s="14"/>
      <c r="H702" s="14"/>
      <c r="I702" s="14"/>
      <c r="J702" s="14">
        <f t="shared" si="172"/>
        <v>0</v>
      </c>
      <c r="L702" s="19"/>
    </row>
    <row r="703" spans="1:12" x14ac:dyDescent="0.25">
      <c r="A703" s="9" t="s">
        <v>17</v>
      </c>
      <c r="B703" s="14"/>
      <c r="C703" s="14"/>
      <c r="D703" s="14"/>
      <c r="E703" s="14"/>
      <c r="F703" s="14"/>
      <c r="G703" s="14"/>
      <c r="H703" s="14"/>
      <c r="I703" s="14"/>
      <c r="J703" s="14">
        <f t="shared" si="172"/>
        <v>0</v>
      </c>
      <c r="L703" s="19"/>
    </row>
    <row r="704" spans="1:12" x14ac:dyDescent="0.25">
      <c r="A704" s="9" t="s">
        <v>18</v>
      </c>
      <c r="B704" s="14">
        <f>58.33+15</f>
        <v>73.33</v>
      </c>
      <c r="C704" s="14"/>
      <c r="D704" s="14"/>
      <c r="E704" s="14"/>
      <c r="F704" s="14"/>
      <c r="G704" s="14"/>
      <c r="H704" s="14"/>
      <c r="I704" s="14"/>
      <c r="J704" s="14">
        <f t="shared" si="172"/>
        <v>73.33</v>
      </c>
      <c r="L704" s="19"/>
    </row>
    <row r="705" spans="1:12" x14ac:dyDescent="0.25">
      <c r="A705" s="9" t="s">
        <v>19</v>
      </c>
      <c r="B705" s="14"/>
      <c r="C705" s="14"/>
      <c r="D705" s="14"/>
      <c r="E705" s="14"/>
      <c r="F705" s="14"/>
      <c r="G705" s="14"/>
      <c r="H705" s="14"/>
      <c r="I705" s="14"/>
      <c r="J705" s="14">
        <f t="shared" si="172"/>
        <v>0</v>
      </c>
      <c r="L705" s="19"/>
    </row>
    <row r="706" spans="1:12" x14ac:dyDescent="0.25">
      <c r="A706" s="9" t="s">
        <v>20</v>
      </c>
      <c r="B706" s="14"/>
      <c r="C706" s="14"/>
      <c r="D706" s="14"/>
      <c r="E706" s="14"/>
      <c r="F706" s="14"/>
      <c r="G706" s="14"/>
      <c r="H706" s="14"/>
      <c r="I706" s="14"/>
      <c r="J706" s="14">
        <f t="shared" si="172"/>
        <v>0</v>
      </c>
      <c r="L706" s="19"/>
    </row>
    <row r="707" spans="1:12" x14ac:dyDescent="0.25">
      <c r="A707" s="5" t="s">
        <v>21</v>
      </c>
      <c r="B707" s="14">
        <f t="shared" ref="B707:I707" si="173">SUM(B697:B706)</f>
        <v>73.33</v>
      </c>
      <c r="C707" s="14">
        <f t="shared" si="173"/>
        <v>0</v>
      </c>
      <c r="D707" s="14">
        <f t="shared" si="173"/>
        <v>0</v>
      </c>
      <c r="E707" s="14">
        <f t="shared" si="173"/>
        <v>0</v>
      </c>
      <c r="F707" s="14">
        <f t="shared" si="173"/>
        <v>0</v>
      </c>
      <c r="G707" s="14">
        <f t="shared" si="173"/>
        <v>0</v>
      </c>
      <c r="H707" s="14">
        <f t="shared" si="173"/>
        <v>0</v>
      </c>
      <c r="I707" s="14">
        <f t="shared" si="173"/>
        <v>0</v>
      </c>
      <c r="J707" s="14">
        <f t="shared" si="172"/>
        <v>73.33</v>
      </c>
      <c r="L707" s="19"/>
    </row>
    <row r="708" spans="1:12" x14ac:dyDescent="0.25">
      <c r="A708" s="9" t="s">
        <v>22</v>
      </c>
      <c r="B708" s="14"/>
      <c r="C708" s="14"/>
      <c r="D708" s="14"/>
      <c r="E708" s="14"/>
      <c r="F708" s="14"/>
      <c r="G708" s="14"/>
      <c r="H708" s="14"/>
      <c r="I708" s="14"/>
      <c r="J708" s="14">
        <f t="shared" si="172"/>
        <v>0</v>
      </c>
      <c r="L708" s="19"/>
    </row>
    <row r="709" spans="1:12" x14ac:dyDescent="0.25">
      <c r="A709" s="9" t="s">
        <v>23</v>
      </c>
      <c r="B709" s="14"/>
      <c r="C709" s="14"/>
      <c r="D709" s="14"/>
      <c r="E709" s="14"/>
      <c r="F709" s="14"/>
      <c r="G709" s="14"/>
      <c r="H709" s="14"/>
      <c r="I709" s="14"/>
      <c r="J709" s="14">
        <f t="shared" si="172"/>
        <v>0</v>
      </c>
      <c r="L709" s="19"/>
    </row>
    <row r="710" spans="1:12" x14ac:dyDescent="0.25">
      <c r="A710" s="5" t="s">
        <v>42</v>
      </c>
      <c r="B710" s="14">
        <f t="shared" ref="B710:J710" si="174">SUM(B708:B709)</f>
        <v>0</v>
      </c>
      <c r="C710" s="14">
        <f t="shared" si="174"/>
        <v>0</v>
      </c>
      <c r="D710" s="14">
        <f t="shared" si="174"/>
        <v>0</v>
      </c>
      <c r="E710" s="14">
        <f t="shared" si="174"/>
        <v>0</v>
      </c>
      <c r="F710" s="14">
        <f t="shared" si="174"/>
        <v>0</v>
      </c>
      <c r="G710" s="14">
        <f t="shared" si="174"/>
        <v>0</v>
      </c>
      <c r="H710" s="14">
        <f t="shared" si="174"/>
        <v>0</v>
      </c>
      <c r="I710" s="14">
        <f t="shared" si="174"/>
        <v>0</v>
      </c>
      <c r="J710" s="14">
        <f t="shared" si="174"/>
        <v>0</v>
      </c>
      <c r="L710" s="19"/>
    </row>
    <row r="711" spans="1:12" x14ac:dyDescent="0.25">
      <c r="A711" s="5" t="s">
        <v>24</v>
      </c>
      <c r="B711" s="14">
        <f t="shared" ref="B711:J711" si="175">B707+B710</f>
        <v>73.33</v>
      </c>
      <c r="C711" s="14">
        <f t="shared" si="175"/>
        <v>0</v>
      </c>
      <c r="D711" s="14">
        <f t="shared" si="175"/>
        <v>0</v>
      </c>
      <c r="E711" s="14">
        <f t="shared" si="175"/>
        <v>0</v>
      </c>
      <c r="F711" s="14">
        <f t="shared" si="175"/>
        <v>0</v>
      </c>
      <c r="G711" s="14">
        <f t="shared" si="175"/>
        <v>0</v>
      </c>
      <c r="H711" s="14">
        <f t="shared" si="175"/>
        <v>0</v>
      </c>
      <c r="I711" s="14">
        <f t="shared" si="175"/>
        <v>0</v>
      </c>
      <c r="J711" s="14">
        <f t="shared" si="175"/>
        <v>73.33</v>
      </c>
      <c r="L711" s="19"/>
    </row>
    <row r="712" spans="1:12" x14ac:dyDescent="0.25">
      <c r="A712" s="10" t="s">
        <v>74</v>
      </c>
      <c r="B712" s="14"/>
      <c r="C712" s="14"/>
      <c r="D712" s="14"/>
      <c r="E712" s="14"/>
      <c r="F712" s="14"/>
      <c r="G712" s="14"/>
      <c r="H712" s="14"/>
      <c r="I712" s="14"/>
      <c r="J712" s="14"/>
      <c r="L712" s="19"/>
    </row>
    <row r="713" spans="1:12" x14ac:dyDescent="0.25">
      <c r="A713" s="9" t="s">
        <v>11</v>
      </c>
      <c r="B713" s="14"/>
      <c r="C713" s="14"/>
      <c r="D713" s="14">
        <f>41635.4+8134.52+7000</f>
        <v>56769.919999999998</v>
      </c>
      <c r="E713" s="14"/>
      <c r="F713" s="14"/>
      <c r="G713" s="14"/>
      <c r="H713" s="14"/>
      <c r="I713" s="14"/>
      <c r="J713" s="14">
        <f t="shared" ref="J713:J725" si="176">SUM(B713:I713)</f>
        <v>56769.919999999998</v>
      </c>
      <c r="L713" s="19"/>
    </row>
    <row r="714" spans="1:12" x14ac:dyDescent="0.25">
      <c r="A714" s="9" t="s">
        <v>12</v>
      </c>
      <c r="B714" s="14"/>
      <c r="C714" s="14"/>
      <c r="D714" s="14"/>
      <c r="E714" s="14">
        <v>215.16</v>
      </c>
      <c r="F714" s="14"/>
      <c r="G714" s="14"/>
      <c r="H714" s="14"/>
      <c r="I714" s="14"/>
      <c r="J714" s="14">
        <f t="shared" si="176"/>
        <v>215.16</v>
      </c>
      <c r="L714" s="19"/>
    </row>
    <row r="715" spans="1:12" x14ac:dyDescent="0.25">
      <c r="A715" s="9" t="s">
        <v>13</v>
      </c>
      <c r="B715" s="14"/>
      <c r="C715" s="14"/>
      <c r="D715" s="14"/>
      <c r="E715" s="14"/>
      <c r="F715" s="14"/>
      <c r="G715" s="14"/>
      <c r="H715" s="14"/>
      <c r="I715" s="14"/>
      <c r="J715" s="14">
        <f t="shared" si="176"/>
        <v>0</v>
      </c>
      <c r="L715" s="19"/>
    </row>
    <row r="716" spans="1:12" x14ac:dyDescent="0.25">
      <c r="A716" s="9" t="s">
        <v>14</v>
      </c>
      <c r="B716" s="14"/>
      <c r="C716" s="14"/>
      <c r="D716" s="14"/>
      <c r="E716" s="14"/>
      <c r="F716" s="14"/>
      <c r="G716" s="14"/>
      <c r="H716" s="14"/>
      <c r="I716" s="14"/>
      <c r="J716" s="14">
        <f t="shared" si="176"/>
        <v>0</v>
      </c>
      <c r="L716" s="19"/>
    </row>
    <row r="717" spans="1:12" x14ac:dyDescent="0.25">
      <c r="A717" s="9" t="s">
        <v>15</v>
      </c>
      <c r="B717" s="14"/>
      <c r="C717" s="14"/>
      <c r="D717" s="14"/>
      <c r="E717" s="14"/>
      <c r="F717" s="14"/>
      <c r="G717" s="14"/>
      <c r="H717" s="14"/>
      <c r="I717" s="14"/>
      <c r="J717" s="14">
        <f t="shared" si="176"/>
        <v>0</v>
      </c>
      <c r="L717" s="19"/>
    </row>
    <row r="718" spans="1:12" x14ac:dyDescent="0.25">
      <c r="A718" s="9" t="s">
        <v>16</v>
      </c>
      <c r="B718" s="14"/>
      <c r="C718" s="14"/>
      <c r="D718" s="14"/>
      <c r="E718" s="14"/>
      <c r="F718" s="14"/>
      <c r="G718" s="14"/>
      <c r="H718" s="14"/>
      <c r="I718" s="14"/>
      <c r="J718" s="14">
        <f t="shared" si="176"/>
        <v>0</v>
      </c>
      <c r="L718" s="19"/>
    </row>
    <row r="719" spans="1:12" x14ac:dyDescent="0.25">
      <c r="A719" s="9" t="s">
        <v>17</v>
      </c>
      <c r="B719" s="14"/>
      <c r="C719" s="14"/>
      <c r="D719" s="14"/>
      <c r="E719" s="14"/>
      <c r="F719" s="14"/>
      <c r="G719" s="14"/>
      <c r="H719" s="14"/>
      <c r="I719" s="14"/>
      <c r="J719" s="14">
        <f t="shared" si="176"/>
        <v>0</v>
      </c>
      <c r="L719" s="19"/>
    </row>
    <row r="720" spans="1:12" x14ac:dyDescent="0.25">
      <c r="A720" s="9" t="s">
        <v>18</v>
      </c>
      <c r="B720" s="14">
        <f>15.35+5.2</f>
        <v>20.55</v>
      </c>
      <c r="C720" s="14"/>
      <c r="D720" s="14"/>
      <c r="E720" s="14"/>
      <c r="F720" s="14"/>
      <c r="G720" s="14"/>
      <c r="H720" s="14"/>
      <c r="I720" s="14"/>
      <c r="J720" s="14">
        <f t="shared" si="176"/>
        <v>20.55</v>
      </c>
      <c r="L720" s="19"/>
    </row>
    <row r="721" spans="1:12" x14ac:dyDescent="0.25">
      <c r="A721" s="9" t="s">
        <v>19</v>
      </c>
      <c r="B721" s="14"/>
      <c r="C721" s="14"/>
      <c r="D721" s="14"/>
      <c r="E721" s="14"/>
      <c r="F721" s="14"/>
      <c r="G721" s="14"/>
      <c r="H721" s="14"/>
      <c r="I721" s="14"/>
      <c r="J721" s="14">
        <f t="shared" si="176"/>
        <v>0</v>
      </c>
      <c r="L721" s="19"/>
    </row>
    <row r="722" spans="1:12" x14ac:dyDescent="0.25">
      <c r="A722" s="9" t="s">
        <v>20</v>
      </c>
      <c r="B722" s="14"/>
      <c r="C722" s="14"/>
      <c r="D722" s="14"/>
      <c r="E722" s="14"/>
      <c r="F722" s="14"/>
      <c r="G722" s="14"/>
      <c r="H722" s="14"/>
      <c r="I722" s="14"/>
      <c r="J722" s="14">
        <f t="shared" si="176"/>
        <v>0</v>
      </c>
      <c r="L722" s="19"/>
    </row>
    <row r="723" spans="1:12" x14ac:dyDescent="0.25">
      <c r="A723" s="5" t="s">
        <v>21</v>
      </c>
      <c r="B723" s="14">
        <f t="shared" ref="B723:I723" si="177">SUM(B713:B722)</f>
        <v>20.55</v>
      </c>
      <c r="C723" s="14">
        <f t="shared" si="177"/>
        <v>0</v>
      </c>
      <c r="D723" s="14">
        <f t="shared" si="177"/>
        <v>56769.919999999998</v>
      </c>
      <c r="E723" s="14">
        <f t="shared" si="177"/>
        <v>215.16</v>
      </c>
      <c r="F723" s="14">
        <f t="shared" si="177"/>
        <v>0</v>
      </c>
      <c r="G723" s="14">
        <f t="shared" si="177"/>
        <v>0</v>
      </c>
      <c r="H723" s="14">
        <f t="shared" si="177"/>
        <v>0</v>
      </c>
      <c r="I723" s="14">
        <f t="shared" si="177"/>
        <v>0</v>
      </c>
      <c r="J723" s="14">
        <f t="shared" si="176"/>
        <v>57005.630000000005</v>
      </c>
      <c r="L723" s="19"/>
    </row>
    <row r="724" spans="1:12" x14ac:dyDescent="0.25">
      <c r="A724" s="9" t="s">
        <v>22</v>
      </c>
      <c r="B724" s="14"/>
      <c r="C724" s="14"/>
      <c r="D724" s="14"/>
      <c r="E724" s="14"/>
      <c r="F724" s="14"/>
      <c r="G724" s="14"/>
      <c r="H724" s="14"/>
      <c r="I724" s="14"/>
      <c r="J724" s="14">
        <f t="shared" si="176"/>
        <v>0</v>
      </c>
      <c r="L724" s="19"/>
    </row>
    <row r="725" spans="1:12" x14ac:dyDescent="0.25">
      <c r="A725" s="9" t="s">
        <v>23</v>
      </c>
      <c r="B725" s="14"/>
      <c r="C725" s="14"/>
      <c r="D725" s="14"/>
      <c r="E725" s="14"/>
      <c r="F725" s="14"/>
      <c r="G725" s="14"/>
      <c r="H725" s="14"/>
      <c r="I725" s="14"/>
      <c r="J725" s="14">
        <f t="shared" si="176"/>
        <v>0</v>
      </c>
      <c r="L725" s="19"/>
    </row>
    <row r="726" spans="1:12" x14ac:dyDescent="0.25">
      <c r="A726" s="5" t="s">
        <v>42</v>
      </c>
      <c r="B726" s="14">
        <f t="shared" ref="B726:J726" si="178">SUM(B724:B725)</f>
        <v>0</v>
      </c>
      <c r="C726" s="14">
        <f t="shared" si="178"/>
        <v>0</v>
      </c>
      <c r="D726" s="14">
        <f t="shared" si="178"/>
        <v>0</v>
      </c>
      <c r="E726" s="14">
        <f t="shared" si="178"/>
        <v>0</v>
      </c>
      <c r="F726" s="14">
        <f t="shared" si="178"/>
        <v>0</v>
      </c>
      <c r="G726" s="14">
        <f t="shared" si="178"/>
        <v>0</v>
      </c>
      <c r="H726" s="14">
        <f t="shared" si="178"/>
        <v>0</v>
      </c>
      <c r="I726" s="14">
        <f t="shared" si="178"/>
        <v>0</v>
      </c>
      <c r="J726" s="14">
        <f t="shared" si="178"/>
        <v>0</v>
      </c>
      <c r="L726" s="19"/>
    </row>
    <row r="727" spans="1:12" x14ac:dyDescent="0.25">
      <c r="A727" s="5" t="s">
        <v>24</v>
      </c>
      <c r="B727" s="14">
        <f t="shared" ref="B727:J727" si="179">B723+B726</f>
        <v>20.55</v>
      </c>
      <c r="C727" s="14">
        <f t="shared" si="179"/>
        <v>0</v>
      </c>
      <c r="D727" s="14">
        <f t="shared" si="179"/>
        <v>56769.919999999998</v>
      </c>
      <c r="E727" s="14">
        <f t="shared" si="179"/>
        <v>215.16</v>
      </c>
      <c r="F727" s="14">
        <f t="shared" si="179"/>
        <v>0</v>
      </c>
      <c r="G727" s="14">
        <f t="shared" si="179"/>
        <v>0</v>
      </c>
      <c r="H727" s="14">
        <f t="shared" si="179"/>
        <v>0</v>
      </c>
      <c r="I727" s="14">
        <f t="shared" si="179"/>
        <v>0</v>
      </c>
      <c r="J727" s="14">
        <f t="shared" si="179"/>
        <v>57005.630000000005</v>
      </c>
      <c r="L727" s="19"/>
    </row>
    <row r="728" spans="1:12" x14ac:dyDescent="0.25">
      <c r="A728" s="10" t="s">
        <v>75</v>
      </c>
      <c r="B728" s="14"/>
      <c r="C728" s="14"/>
      <c r="D728" s="14"/>
      <c r="E728" s="14"/>
      <c r="F728" s="14"/>
      <c r="G728" s="14"/>
      <c r="H728" s="14"/>
      <c r="I728" s="14"/>
      <c r="J728" s="14"/>
      <c r="L728" s="19"/>
    </row>
    <row r="729" spans="1:12" x14ac:dyDescent="0.25">
      <c r="A729" s="9" t="s">
        <v>11</v>
      </c>
      <c r="B729" s="14"/>
      <c r="C729" s="14"/>
      <c r="D729" s="14">
        <f>42433.54+4762.45+4762.45</f>
        <v>51958.439999999995</v>
      </c>
      <c r="E729" s="14"/>
      <c r="F729" s="14"/>
      <c r="G729" s="14"/>
      <c r="H729" s="14"/>
      <c r="I729" s="14"/>
      <c r="J729" s="14">
        <f t="shared" ref="J729:J741" si="180">SUM(B729:I729)</f>
        <v>51958.439999999995</v>
      </c>
      <c r="L729" s="19"/>
    </row>
    <row r="730" spans="1:12" x14ac:dyDescent="0.25">
      <c r="A730" s="9" t="s">
        <v>12</v>
      </c>
      <c r="B730" s="14"/>
      <c r="C730" s="14"/>
      <c r="D730" s="14">
        <v>399</v>
      </c>
      <c r="E730" s="14">
        <v>215.16</v>
      </c>
      <c r="F730" s="14"/>
      <c r="G730" s="14"/>
      <c r="H730" s="14"/>
      <c r="I730" s="14"/>
      <c r="J730" s="14">
        <f t="shared" si="180"/>
        <v>614.16</v>
      </c>
      <c r="L730" s="19"/>
    </row>
    <row r="731" spans="1:12" x14ac:dyDescent="0.25">
      <c r="A731" s="9" t="s">
        <v>13</v>
      </c>
      <c r="B731" s="14"/>
      <c r="C731" s="14"/>
      <c r="D731" s="14"/>
      <c r="E731" s="14"/>
      <c r="F731" s="14"/>
      <c r="G731" s="14"/>
      <c r="H731" s="14"/>
      <c r="I731" s="14"/>
      <c r="J731" s="14">
        <f t="shared" si="180"/>
        <v>0</v>
      </c>
      <c r="L731" s="19"/>
    </row>
    <row r="732" spans="1:12" x14ac:dyDescent="0.25">
      <c r="A732" s="9" t="s">
        <v>14</v>
      </c>
      <c r="B732" s="14"/>
      <c r="C732" s="14"/>
      <c r="D732" s="14">
        <f>297.66</f>
        <v>297.66000000000003</v>
      </c>
      <c r="E732" s="14"/>
      <c r="F732" s="14"/>
      <c r="G732" s="14"/>
      <c r="H732" s="14"/>
      <c r="I732" s="14"/>
      <c r="J732" s="14">
        <f t="shared" si="180"/>
        <v>297.66000000000003</v>
      </c>
      <c r="L732" s="19"/>
    </row>
    <row r="733" spans="1:12" x14ac:dyDescent="0.25">
      <c r="A733" s="9" t="s">
        <v>15</v>
      </c>
      <c r="B733" s="14"/>
      <c r="C733" s="14"/>
      <c r="D733" s="14"/>
      <c r="E733" s="14"/>
      <c r="F733" s="14"/>
      <c r="G733" s="14"/>
      <c r="H733" s="14"/>
      <c r="I733" s="14"/>
      <c r="J733" s="14">
        <f t="shared" si="180"/>
        <v>0</v>
      </c>
      <c r="L733" s="19"/>
    </row>
    <row r="734" spans="1:12" x14ac:dyDescent="0.25">
      <c r="A734" s="9" t="s">
        <v>16</v>
      </c>
      <c r="B734" s="14"/>
      <c r="C734" s="14"/>
      <c r="D734" s="14"/>
      <c r="E734" s="14"/>
      <c r="F734" s="14"/>
      <c r="G734" s="14"/>
      <c r="H734" s="14"/>
      <c r="I734" s="14"/>
      <c r="J734" s="14">
        <f t="shared" si="180"/>
        <v>0</v>
      </c>
      <c r="L734" s="19"/>
    </row>
    <row r="735" spans="1:12" x14ac:dyDescent="0.25">
      <c r="A735" s="9" t="s">
        <v>17</v>
      </c>
      <c r="B735" s="14"/>
      <c r="C735" s="14"/>
      <c r="D735" s="14"/>
      <c r="E735" s="14"/>
      <c r="F735" s="14"/>
      <c r="G735" s="14"/>
      <c r="H735" s="14"/>
      <c r="I735" s="14"/>
      <c r="J735" s="14">
        <f t="shared" si="180"/>
        <v>0</v>
      </c>
      <c r="L735" s="19"/>
    </row>
    <row r="736" spans="1:12" x14ac:dyDescent="0.25">
      <c r="A736" s="9" t="s">
        <v>18</v>
      </c>
      <c r="B736" s="14">
        <f>322.35+53.72</f>
        <v>376.07000000000005</v>
      </c>
      <c r="C736" s="14"/>
      <c r="D736" s="14"/>
      <c r="E736" s="14"/>
      <c r="F736" s="14"/>
      <c r="G736" s="14"/>
      <c r="H736" s="14"/>
      <c r="I736" s="14"/>
      <c r="J736" s="14">
        <f t="shared" si="180"/>
        <v>376.07000000000005</v>
      </c>
      <c r="L736" s="19"/>
    </row>
    <row r="737" spans="1:12" x14ac:dyDescent="0.25">
      <c r="A737" s="9" t="s">
        <v>19</v>
      </c>
      <c r="B737" s="14"/>
      <c r="C737" s="14"/>
      <c r="D737" s="14"/>
      <c r="E737" s="14"/>
      <c r="F737" s="14"/>
      <c r="G737" s="14"/>
      <c r="H737" s="14"/>
      <c r="I737" s="14"/>
      <c r="J737" s="14">
        <f t="shared" si="180"/>
        <v>0</v>
      </c>
      <c r="L737" s="19"/>
    </row>
    <row r="738" spans="1:12" x14ac:dyDescent="0.25">
      <c r="A738" s="9" t="s">
        <v>20</v>
      </c>
      <c r="B738" s="14"/>
      <c r="C738" s="14"/>
      <c r="D738" s="14"/>
      <c r="E738" s="14"/>
      <c r="F738" s="14"/>
      <c r="G738" s="14"/>
      <c r="H738" s="14"/>
      <c r="I738" s="14"/>
      <c r="J738" s="14">
        <f t="shared" si="180"/>
        <v>0</v>
      </c>
      <c r="L738" s="19"/>
    </row>
    <row r="739" spans="1:12" x14ac:dyDescent="0.25">
      <c r="A739" s="5" t="s">
        <v>21</v>
      </c>
      <c r="B739" s="14">
        <f t="shared" ref="B739:I739" si="181">SUM(B729:B738)</f>
        <v>376.07000000000005</v>
      </c>
      <c r="C739" s="14">
        <f t="shared" si="181"/>
        <v>0</v>
      </c>
      <c r="D739" s="14">
        <f t="shared" si="181"/>
        <v>52655.1</v>
      </c>
      <c r="E739" s="14">
        <f t="shared" si="181"/>
        <v>215.16</v>
      </c>
      <c r="F739" s="14">
        <f t="shared" si="181"/>
        <v>0</v>
      </c>
      <c r="G739" s="14">
        <f t="shared" si="181"/>
        <v>0</v>
      </c>
      <c r="H739" s="14">
        <f t="shared" si="181"/>
        <v>0</v>
      </c>
      <c r="I739" s="14">
        <f t="shared" si="181"/>
        <v>0</v>
      </c>
      <c r="J739" s="14">
        <f t="shared" si="180"/>
        <v>53246.33</v>
      </c>
      <c r="L739" s="19"/>
    </row>
    <row r="740" spans="1:12" x14ac:dyDescent="0.25">
      <c r="A740" s="9" t="s">
        <v>22</v>
      </c>
      <c r="B740" s="14"/>
      <c r="C740" s="14"/>
      <c r="D740" s="14"/>
      <c r="E740" s="14"/>
      <c r="F740" s="14"/>
      <c r="G740" s="14"/>
      <c r="H740" s="14"/>
      <c r="I740" s="14"/>
      <c r="J740" s="14">
        <f t="shared" si="180"/>
        <v>0</v>
      </c>
      <c r="L740" s="19"/>
    </row>
    <row r="741" spans="1:12" x14ac:dyDescent="0.25">
      <c r="A741" s="9" t="s">
        <v>23</v>
      </c>
      <c r="B741" s="14"/>
      <c r="C741" s="14"/>
      <c r="D741" s="14"/>
      <c r="E741" s="14"/>
      <c r="F741" s="14"/>
      <c r="G741" s="14"/>
      <c r="H741" s="14"/>
      <c r="I741" s="14"/>
      <c r="J741" s="14">
        <f t="shared" si="180"/>
        <v>0</v>
      </c>
      <c r="L741" s="19"/>
    </row>
    <row r="742" spans="1:12" x14ac:dyDescent="0.25">
      <c r="A742" s="5" t="s">
        <v>42</v>
      </c>
      <c r="B742" s="14">
        <f t="shared" ref="B742:J742" si="182">SUM(B740:B741)</f>
        <v>0</v>
      </c>
      <c r="C742" s="14">
        <f t="shared" si="182"/>
        <v>0</v>
      </c>
      <c r="D742" s="14">
        <f t="shared" si="182"/>
        <v>0</v>
      </c>
      <c r="E742" s="14">
        <f t="shared" si="182"/>
        <v>0</v>
      </c>
      <c r="F742" s="14">
        <f t="shared" si="182"/>
        <v>0</v>
      </c>
      <c r="G742" s="14">
        <f t="shared" si="182"/>
        <v>0</v>
      </c>
      <c r="H742" s="14">
        <f t="shared" si="182"/>
        <v>0</v>
      </c>
      <c r="I742" s="14">
        <f t="shared" si="182"/>
        <v>0</v>
      </c>
      <c r="J742" s="14">
        <f t="shared" si="182"/>
        <v>0</v>
      </c>
      <c r="L742" s="19"/>
    </row>
    <row r="743" spans="1:12" x14ac:dyDescent="0.25">
      <c r="A743" s="5" t="s">
        <v>24</v>
      </c>
      <c r="B743" s="14">
        <f t="shared" ref="B743:J743" si="183">B739+B742</f>
        <v>376.07000000000005</v>
      </c>
      <c r="C743" s="14">
        <f t="shared" si="183"/>
        <v>0</v>
      </c>
      <c r="D743" s="14">
        <f t="shared" si="183"/>
        <v>52655.1</v>
      </c>
      <c r="E743" s="14">
        <f t="shared" si="183"/>
        <v>215.16</v>
      </c>
      <c r="F743" s="14">
        <f t="shared" si="183"/>
        <v>0</v>
      </c>
      <c r="G743" s="14">
        <f t="shared" si="183"/>
        <v>0</v>
      </c>
      <c r="H743" s="14">
        <f t="shared" si="183"/>
        <v>0</v>
      </c>
      <c r="I743" s="14">
        <f t="shared" si="183"/>
        <v>0</v>
      </c>
      <c r="J743" s="14">
        <f t="shared" si="183"/>
        <v>53246.33</v>
      </c>
      <c r="L743" s="19"/>
    </row>
    <row r="744" spans="1:12" x14ac:dyDescent="0.25">
      <c r="A744" s="10" t="s">
        <v>76</v>
      </c>
      <c r="B744" s="14"/>
      <c r="C744" s="14"/>
      <c r="D744" s="14"/>
      <c r="E744" s="14"/>
      <c r="F744" s="14"/>
      <c r="G744" s="14"/>
      <c r="H744" s="14"/>
      <c r="I744" s="14"/>
      <c r="J744" s="14"/>
      <c r="L744" s="19"/>
    </row>
    <row r="745" spans="1:12" x14ac:dyDescent="0.25">
      <c r="A745" s="9" t="s">
        <v>11</v>
      </c>
      <c r="B745" s="14"/>
      <c r="C745" s="14"/>
      <c r="D745" s="14">
        <f>51895.29+5627.01+5627.01</f>
        <v>63149.310000000005</v>
      </c>
      <c r="E745" s="14"/>
      <c r="F745" s="14"/>
      <c r="G745" s="14"/>
      <c r="H745" s="14"/>
      <c r="I745" s="14"/>
      <c r="J745" s="14">
        <f t="shared" ref="J745:J757" si="184">SUM(B745:I745)</f>
        <v>63149.310000000005</v>
      </c>
      <c r="L745" s="19"/>
    </row>
    <row r="746" spans="1:12" x14ac:dyDescent="0.25">
      <c r="A746" s="9" t="s">
        <v>12</v>
      </c>
      <c r="B746" s="14">
        <f>8875.5+900+3019+4251</f>
        <v>17045.5</v>
      </c>
      <c r="C746" s="14"/>
      <c r="D746" s="14">
        <f>399+1248</f>
        <v>1647</v>
      </c>
      <c r="E746" s="14">
        <v>215.16</v>
      </c>
      <c r="F746" s="14"/>
      <c r="G746" s="14"/>
      <c r="H746" s="14"/>
      <c r="I746" s="14"/>
      <c r="J746" s="14">
        <f t="shared" si="184"/>
        <v>18907.66</v>
      </c>
      <c r="L746" s="19"/>
    </row>
    <row r="747" spans="1:12" x14ac:dyDescent="0.25">
      <c r="A747" s="9" t="s">
        <v>13</v>
      </c>
      <c r="B747" s="14"/>
      <c r="C747" s="14"/>
      <c r="D747" s="14"/>
      <c r="E747" s="14"/>
      <c r="F747" s="14"/>
      <c r="G747" s="14"/>
      <c r="H747" s="14"/>
      <c r="I747" s="14"/>
      <c r="J747" s="14">
        <f t="shared" si="184"/>
        <v>0</v>
      </c>
      <c r="L747" s="19"/>
    </row>
    <row r="748" spans="1:12" x14ac:dyDescent="0.25">
      <c r="A748" s="9" t="s">
        <v>14</v>
      </c>
      <c r="B748" s="14">
        <v>11740.47</v>
      </c>
      <c r="C748" s="14"/>
      <c r="D748" s="14">
        <f>297.66+48030.99</f>
        <v>48328.65</v>
      </c>
      <c r="E748" s="14"/>
      <c r="F748" s="14"/>
      <c r="G748" s="14"/>
      <c r="H748" s="14"/>
      <c r="I748" s="14"/>
      <c r="J748" s="14">
        <f t="shared" si="184"/>
        <v>60069.120000000003</v>
      </c>
      <c r="L748" s="19"/>
    </row>
    <row r="749" spans="1:12" x14ac:dyDescent="0.25">
      <c r="A749" s="9" t="s">
        <v>15</v>
      </c>
      <c r="B749" s="14"/>
      <c r="C749" s="14"/>
      <c r="D749" s="14"/>
      <c r="E749" s="14"/>
      <c r="F749" s="14"/>
      <c r="G749" s="14"/>
      <c r="H749" s="14"/>
      <c r="I749" s="14"/>
      <c r="J749" s="14">
        <f t="shared" si="184"/>
        <v>0</v>
      </c>
      <c r="L749" s="19"/>
    </row>
    <row r="750" spans="1:12" x14ac:dyDescent="0.25">
      <c r="A750" s="9" t="s">
        <v>16</v>
      </c>
      <c r="B750" s="14"/>
      <c r="C750" s="14"/>
      <c r="D750" s="14"/>
      <c r="E750" s="14"/>
      <c r="F750" s="14"/>
      <c r="G750" s="14"/>
      <c r="H750" s="14"/>
      <c r="I750" s="14"/>
      <c r="J750" s="14">
        <f t="shared" si="184"/>
        <v>0</v>
      </c>
      <c r="L750" s="19"/>
    </row>
    <row r="751" spans="1:12" x14ac:dyDescent="0.25">
      <c r="A751" s="9" t="s">
        <v>17</v>
      </c>
      <c r="B751" s="14"/>
      <c r="C751" s="14"/>
      <c r="D751" s="14"/>
      <c r="E751" s="14"/>
      <c r="F751" s="14"/>
      <c r="G751" s="14"/>
      <c r="H751" s="14"/>
      <c r="I751" s="14"/>
      <c r="J751" s="14">
        <f t="shared" si="184"/>
        <v>0</v>
      </c>
      <c r="L751" s="19"/>
    </row>
    <row r="752" spans="1:12" x14ac:dyDescent="0.25">
      <c r="A752" s="9" t="s">
        <v>18</v>
      </c>
      <c r="B752" s="14">
        <f>439.01+73.17</f>
        <v>512.17999999999995</v>
      </c>
      <c r="C752" s="14"/>
      <c r="D752" s="14"/>
      <c r="E752" s="14"/>
      <c r="F752" s="14"/>
      <c r="G752" s="14"/>
      <c r="H752" s="14"/>
      <c r="I752" s="14"/>
      <c r="J752" s="14">
        <f t="shared" si="184"/>
        <v>512.17999999999995</v>
      </c>
      <c r="L752" s="19"/>
    </row>
    <row r="753" spans="1:12" x14ac:dyDescent="0.25">
      <c r="A753" s="9" t="s">
        <v>19</v>
      </c>
      <c r="B753" s="14"/>
      <c r="C753" s="14"/>
      <c r="D753" s="14"/>
      <c r="E753" s="14"/>
      <c r="F753" s="14"/>
      <c r="G753" s="14"/>
      <c r="H753" s="14"/>
      <c r="I753" s="14"/>
      <c r="J753" s="14">
        <f t="shared" si="184"/>
        <v>0</v>
      </c>
      <c r="L753" s="19"/>
    </row>
    <row r="754" spans="1:12" x14ac:dyDescent="0.25">
      <c r="A754" s="9" t="s">
        <v>20</v>
      </c>
      <c r="B754" s="14"/>
      <c r="C754" s="14"/>
      <c r="D754" s="14"/>
      <c r="E754" s="14"/>
      <c r="F754" s="14"/>
      <c r="G754" s="14"/>
      <c r="H754" s="14"/>
      <c r="I754" s="14"/>
      <c r="J754" s="14">
        <f t="shared" si="184"/>
        <v>0</v>
      </c>
      <c r="L754" s="19"/>
    </row>
    <row r="755" spans="1:12" x14ac:dyDescent="0.25">
      <c r="A755" s="5" t="s">
        <v>21</v>
      </c>
      <c r="B755" s="14">
        <f t="shared" ref="B755:I755" si="185">SUM(B745:B754)</f>
        <v>29298.15</v>
      </c>
      <c r="C755" s="14">
        <f t="shared" si="185"/>
        <v>0</v>
      </c>
      <c r="D755" s="14">
        <f>SUM(D745:D754)</f>
        <v>113124.96</v>
      </c>
      <c r="E755" s="14">
        <f t="shared" si="185"/>
        <v>215.16</v>
      </c>
      <c r="F755" s="14">
        <f t="shared" si="185"/>
        <v>0</v>
      </c>
      <c r="G755" s="14">
        <f t="shared" si="185"/>
        <v>0</v>
      </c>
      <c r="H755" s="14">
        <f t="shared" si="185"/>
        <v>0</v>
      </c>
      <c r="I755" s="14">
        <f t="shared" si="185"/>
        <v>0</v>
      </c>
      <c r="J755" s="14">
        <f t="shared" si="184"/>
        <v>142638.27000000002</v>
      </c>
      <c r="L755" s="19"/>
    </row>
    <row r="756" spans="1:12" x14ac:dyDescent="0.25">
      <c r="A756" s="9" t="s">
        <v>22</v>
      </c>
      <c r="B756" s="14"/>
      <c r="C756" s="14"/>
      <c r="D756" s="14"/>
      <c r="E756" s="14"/>
      <c r="F756" s="14"/>
      <c r="G756" s="14"/>
      <c r="H756" s="14"/>
      <c r="I756" s="14"/>
      <c r="J756" s="14">
        <f t="shared" si="184"/>
        <v>0</v>
      </c>
      <c r="L756" s="19"/>
    </row>
    <row r="757" spans="1:12" x14ac:dyDescent="0.25">
      <c r="A757" s="9" t="s">
        <v>23</v>
      </c>
      <c r="B757" s="14"/>
      <c r="C757" s="14"/>
      <c r="D757" s="14"/>
      <c r="E757" s="14"/>
      <c r="F757" s="14"/>
      <c r="G757" s="14"/>
      <c r="H757" s="14"/>
      <c r="I757" s="14"/>
      <c r="J757" s="14">
        <f t="shared" si="184"/>
        <v>0</v>
      </c>
      <c r="L757" s="19"/>
    </row>
    <row r="758" spans="1:12" x14ac:dyDescent="0.25">
      <c r="A758" s="5" t="s">
        <v>42</v>
      </c>
      <c r="B758" s="14">
        <f t="shared" ref="B758:J758" si="186">SUM(B756:B757)</f>
        <v>0</v>
      </c>
      <c r="C758" s="14">
        <f t="shared" si="186"/>
        <v>0</v>
      </c>
      <c r="D758" s="14">
        <f t="shared" si="186"/>
        <v>0</v>
      </c>
      <c r="E758" s="14">
        <f t="shared" si="186"/>
        <v>0</v>
      </c>
      <c r="F758" s="14">
        <f t="shared" si="186"/>
        <v>0</v>
      </c>
      <c r="G758" s="14">
        <f t="shared" si="186"/>
        <v>0</v>
      </c>
      <c r="H758" s="14">
        <f t="shared" si="186"/>
        <v>0</v>
      </c>
      <c r="I758" s="14">
        <f t="shared" si="186"/>
        <v>0</v>
      </c>
      <c r="J758" s="14">
        <f t="shared" si="186"/>
        <v>0</v>
      </c>
      <c r="L758" s="19"/>
    </row>
    <row r="759" spans="1:12" x14ac:dyDescent="0.25">
      <c r="A759" s="5" t="s">
        <v>24</v>
      </c>
      <c r="B759" s="14">
        <f t="shared" ref="B759:J759" si="187">B755+B758</f>
        <v>29298.15</v>
      </c>
      <c r="C759" s="14">
        <f t="shared" si="187"/>
        <v>0</v>
      </c>
      <c r="D759" s="14">
        <f t="shared" si="187"/>
        <v>113124.96</v>
      </c>
      <c r="E759" s="14">
        <f t="shared" si="187"/>
        <v>215.16</v>
      </c>
      <c r="F759" s="14">
        <f t="shared" si="187"/>
        <v>0</v>
      </c>
      <c r="G759" s="14">
        <f t="shared" si="187"/>
        <v>0</v>
      </c>
      <c r="H759" s="14">
        <f t="shared" si="187"/>
        <v>0</v>
      </c>
      <c r="I759" s="14">
        <f t="shared" si="187"/>
        <v>0</v>
      </c>
      <c r="J759" s="14">
        <f t="shared" si="187"/>
        <v>142638.27000000002</v>
      </c>
      <c r="L759" s="19"/>
    </row>
    <row r="760" spans="1:12" x14ac:dyDescent="0.25">
      <c r="A760" s="16" t="s">
        <v>77</v>
      </c>
      <c r="B760" s="14"/>
      <c r="C760" s="14"/>
      <c r="D760" s="14"/>
      <c r="E760" s="14"/>
      <c r="F760" s="14"/>
      <c r="G760" s="14"/>
      <c r="H760" s="14"/>
      <c r="I760" s="14"/>
      <c r="J760" s="14"/>
      <c r="L760" s="19"/>
    </row>
    <row r="761" spans="1:12" x14ac:dyDescent="0.25">
      <c r="A761" s="9" t="s">
        <v>11</v>
      </c>
      <c r="B761" s="14"/>
      <c r="C761" s="14"/>
      <c r="D761" s="14">
        <f>546530.18+81428.98+81428.98</f>
        <v>709388.14</v>
      </c>
      <c r="E761" s="14"/>
      <c r="F761" s="14"/>
      <c r="G761" s="14"/>
      <c r="H761" s="14"/>
      <c r="I761" s="14"/>
      <c r="J761" s="14">
        <f t="shared" ref="J761:J773" si="188">SUM(B761:I761)</f>
        <v>709388.14</v>
      </c>
      <c r="L761" s="19"/>
    </row>
    <row r="762" spans="1:12" x14ac:dyDescent="0.25">
      <c r="A762" s="9" t="s">
        <v>12</v>
      </c>
      <c r="B762" s="14"/>
      <c r="C762" s="14"/>
      <c r="D762" s="14">
        <f>1104.16+72.06+1034.95+795+76.47+2650+252.64+2694+137.65+383.54+45.88</f>
        <v>9246.3499999999985</v>
      </c>
      <c r="E762" s="14">
        <f>19000+215.16</f>
        <v>19215.16</v>
      </c>
      <c r="F762" s="14"/>
      <c r="G762" s="14"/>
      <c r="H762" s="14"/>
      <c r="I762" s="14"/>
      <c r="J762" s="14">
        <f t="shared" si="188"/>
        <v>28461.51</v>
      </c>
      <c r="L762" s="19"/>
    </row>
    <row r="763" spans="1:12" x14ac:dyDescent="0.25">
      <c r="A763" s="9" t="s">
        <v>13</v>
      </c>
      <c r="B763" s="14"/>
      <c r="C763" s="14"/>
      <c r="D763" s="14">
        <v>1000.42</v>
      </c>
      <c r="E763" s="14"/>
      <c r="F763" s="14"/>
      <c r="G763" s="14">
        <f>2440+2540.69+110.38+175.68+517.64+3173.3+325.83+716.48</f>
        <v>10000.000000000002</v>
      </c>
      <c r="H763" s="14"/>
      <c r="I763" s="14"/>
      <c r="J763" s="14">
        <f t="shared" si="188"/>
        <v>11000.420000000002</v>
      </c>
      <c r="L763" s="19"/>
    </row>
    <row r="764" spans="1:12" x14ac:dyDescent="0.25">
      <c r="A764" s="9" t="s">
        <v>14</v>
      </c>
      <c r="B764" s="14"/>
      <c r="C764" s="14"/>
      <c r="D764" s="14">
        <f>318.25+555.08+156.75+256.75+888+444+165+156.75+590.2</f>
        <v>3530.7799999999997</v>
      </c>
      <c r="E764" s="14"/>
      <c r="F764" s="14"/>
      <c r="G764" s="14"/>
      <c r="H764" s="14"/>
      <c r="I764" s="14"/>
      <c r="J764" s="14">
        <f t="shared" si="188"/>
        <v>3530.7799999999997</v>
      </c>
      <c r="L764" s="19"/>
    </row>
    <row r="765" spans="1:12" x14ac:dyDescent="0.25">
      <c r="A765" s="9" t="s">
        <v>15</v>
      </c>
      <c r="B765" s="14"/>
      <c r="C765" s="14"/>
      <c r="D765" s="14">
        <f>3009.86+2995.32+2995.32</f>
        <v>9000.5</v>
      </c>
      <c r="E765" s="14"/>
      <c r="F765" s="14"/>
      <c r="G765" s="14"/>
      <c r="H765" s="14"/>
      <c r="I765" s="14"/>
      <c r="J765" s="14">
        <f t="shared" si="188"/>
        <v>9000.5</v>
      </c>
      <c r="L765" s="19"/>
    </row>
    <row r="766" spans="1:12" x14ac:dyDescent="0.25">
      <c r="A766" s="9" t="s">
        <v>16</v>
      </c>
      <c r="B766" s="14"/>
      <c r="C766" s="14"/>
      <c r="D766" s="14"/>
      <c r="E766" s="14"/>
      <c r="F766" s="14"/>
      <c r="G766" s="14"/>
      <c r="H766" s="14"/>
      <c r="I766" s="14"/>
      <c r="J766" s="14">
        <f t="shared" si="188"/>
        <v>0</v>
      </c>
      <c r="L766" s="19"/>
    </row>
    <row r="767" spans="1:12" x14ac:dyDescent="0.25">
      <c r="A767" s="9" t="s">
        <v>17</v>
      </c>
      <c r="B767" s="14"/>
      <c r="C767" s="14"/>
      <c r="D767" s="14"/>
      <c r="E767" s="14"/>
      <c r="F767" s="14"/>
      <c r="G767" s="14"/>
      <c r="H767" s="14"/>
      <c r="I767" s="14"/>
      <c r="J767" s="14">
        <f t="shared" si="188"/>
        <v>0</v>
      </c>
      <c r="L767" s="19"/>
    </row>
    <row r="768" spans="1:12" x14ac:dyDescent="0.25">
      <c r="A768" s="9" t="s">
        <v>18</v>
      </c>
      <c r="B768" s="14"/>
      <c r="C768" s="14"/>
      <c r="D768" s="14"/>
      <c r="E768" s="14"/>
      <c r="F768" s="14"/>
      <c r="G768" s="14">
        <v>10000</v>
      </c>
      <c r="H768" s="14"/>
      <c r="I768" s="14"/>
      <c r="J768" s="14">
        <f t="shared" si="188"/>
        <v>10000</v>
      </c>
      <c r="L768" s="19"/>
    </row>
    <row r="769" spans="1:12" x14ac:dyDescent="0.25">
      <c r="A769" s="9" t="s">
        <v>19</v>
      </c>
      <c r="B769" s="14"/>
      <c r="C769" s="14"/>
      <c r="D769" s="14"/>
      <c r="E769" s="14"/>
      <c r="F769" s="14"/>
      <c r="G769" s="14"/>
      <c r="H769" s="14"/>
      <c r="I769" s="14"/>
      <c r="J769" s="14">
        <f t="shared" si="188"/>
        <v>0</v>
      </c>
      <c r="L769" s="19"/>
    </row>
    <row r="770" spans="1:12" x14ac:dyDescent="0.25">
      <c r="A770" s="9" t="s">
        <v>20</v>
      </c>
      <c r="B770" s="14"/>
      <c r="C770" s="14"/>
      <c r="D770" s="14"/>
      <c r="E770" s="14"/>
      <c r="F770" s="14"/>
      <c r="G770" s="14">
        <f>49997.04</f>
        <v>49997.04</v>
      </c>
      <c r="H770" s="14"/>
      <c r="I770" s="14"/>
      <c r="J770" s="14">
        <f t="shared" si="188"/>
        <v>49997.04</v>
      </c>
      <c r="L770" s="19"/>
    </row>
    <row r="771" spans="1:12" x14ac:dyDescent="0.25">
      <c r="A771" s="5" t="s">
        <v>21</v>
      </c>
      <c r="B771" s="14">
        <f t="shared" ref="B771:I771" si="189">SUM(B761:B770)</f>
        <v>0</v>
      </c>
      <c r="C771" s="14">
        <f t="shared" si="189"/>
        <v>0</v>
      </c>
      <c r="D771" s="14">
        <f t="shared" si="189"/>
        <v>732166.19000000006</v>
      </c>
      <c r="E771" s="14">
        <f t="shared" si="189"/>
        <v>19215.16</v>
      </c>
      <c r="F771" s="14">
        <f t="shared" si="189"/>
        <v>0</v>
      </c>
      <c r="G771" s="14">
        <f t="shared" si="189"/>
        <v>69997.040000000008</v>
      </c>
      <c r="H771" s="14">
        <f t="shared" si="189"/>
        <v>0</v>
      </c>
      <c r="I771" s="14">
        <f t="shared" si="189"/>
        <v>0</v>
      </c>
      <c r="J771" s="14">
        <f t="shared" si="188"/>
        <v>821378.39000000013</v>
      </c>
      <c r="L771" s="19"/>
    </row>
    <row r="772" spans="1:12" x14ac:dyDescent="0.25">
      <c r="A772" s="9" t="s">
        <v>22</v>
      </c>
      <c r="B772" s="14"/>
      <c r="C772" s="14"/>
      <c r="D772" s="14"/>
      <c r="E772" s="14"/>
      <c r="F772" s="14"/>
      <c r="G772" s="14"/>
      <c r="H772" s="14"/>
      <c r="I772" s="14"/>
      <c r="J772" s="14">
        <f t="shared" si="188"/>
        <v>0</v>
      </c>
      <c r="L772" s="19"/>
    </row>
    <row r="773" spans="1:12" x14ac:dyDescent="0.25">
      <c r="A773" s="9" t="s">
        <v>23</v>
      </c>
      <c r="B773" s="14"/>
      <c r="C773" s="14"/>
      <c r="D773" s="14"/>
      <c r="E773" s="14"/>
      <c r="F773" s="14"/>
      <c r="G773" s="14"/>
      <c r="H773" s="14"/>
      <c r="I773" s="14"/>
      <c r="J773" s="14">
        <f t="shared" si="188"/>
        <v>0</v>
      </c>
      <c r="L773" s="19"/>
    </row>
    <row r="774" spans="1:12" x14ac:dyDescent="0.25">
      <c r="A774" s="5" t="s">
        <v>42</v>
      </c>
      <c r="B774" s="14">
        <f t="shared" ref="B774:J774" si="190">SUM(B772:B773)</f>
        <v>0</v>
      </c>
      <c r="C774" s="14">
        <f t="shared" si="190"/>
        <v>0</v>
      </c>
      <c r="D774" s="14">
        <f t="shared" si="190"/>
        <v>0</v>
      </c>
      <c r="E774" s="14">
        <f t="shared" si="190"/>
        <v>0</v>
      </c>
      <c r="F774" s="14">
        <f t="shared" si="190"/>
        <v>0</v>
      </c>
      <c r="G774" s="14">
        <f t="shared" si="190"/>
        <v>0</v>
      </c>
      <c r="H774" s="14">
        <f t="shared" si="190"/>
        <v>0</v>
      </c>
      <c r="I774" s="14">
        <f t="shared" si="190"/>
        <v>0</v>
      </c>
      <c r="J774" s="14">
        <f t="shared" si="190"/>
        <v>0</v>
      </c>
      <c r="L774" s="19"/>
    </row>
    <row r="775" spans="1:12" x14ac:dyDescent="0.25">
      <c r="A775" s="5" t="s">
        <v>24</v>
      </c>
      <c r="B775" s="14">
        <f t="shared" ref="B775:J775" si="191">B771+B774</f>
        <v>0</v>
      </c>
      <c r="C775" s="14">
        <f t="shared" si="191"/>
        <v>0</v>
      </c>
      <c r="D775" s="14">
        <f t="shared" si="191"/>
        <v>732166.19000000006</v>
      </c>
      <c r="E775" s="14">
        <f t="shared" si="191"/>
        <v>19215.16</v>
      </c>
      <c r="F775" s="14">
        <f t="shared" si="191"/>
        <v>0</v>
      </c>
      <c r="G775" s="14">
        <f t="shared" si="191"/>
        <v>69997.040000000008</v>
      </c>
      <c r="H775" s="14">
        <f t="shared" si="191"/>
        <v>0</v>
      </c>
      <c r="I775" s="14">
        <f t="shared" si="191"/>
        <v>0</v>
      </c>
      <c r="J775" s="14">
        <f t="shared" si="191"/>
        <v>821378.39000000013</v>
      </c>
      <c r="L775" s="19"/>
    </row>
    <row r="776" spans="1:12" x14ac:dyDescent="0.25">
      <c r="A776" s="10" t="s">
        <v>78</v>
      </c>
      <c r="B776" s="14"/>
      <c r="C776" s="14"/>
      <c r="D776" s="14"/>
      <c r="E776" s="14"/>
      <c r="F776" s="14"/>
      <c r="G776" s="14"/>
      <c r="H776" s="14"/>
      <c r="I776" s="14"/>
      <c r="J776" s="14"/>
      <c r="L776" s="19"/>
    </row>
    <row r="777" spans="1:12" x14ac:dyDescent="0.25">
      <c r="A777" s="9" t="s">
        <v>11</v>
      </c>
      <c r="B777" s="14"/>
      <c r="C777" s="14"/>
      <c r="D777" s="14">
        <f>400588.07+47163.37+47163.37</f>
        <v>494914.81</v>
      </c>
      <c r="E777" s="14"/>
      <c r="F777" s="14"/>
      <c r="G777" s="14"/>
      <c r="H777" s="14"/>
      <c r="I777" s="14"/>
      <c r="J777" s="14">
        <f t="shared" ref="J777:J789" si="192">SUM(B777:I777)</f>
        <v>494914.81</v>
      </c>
      <c r="L777" s="19"/>
    </row>
    <row r="778" spans="1:12" x14ac:dyDescent="0.25">
      <c r="A778" s="9" t="s">
        <v>12</v>
      </c>
      <c r="B778" s="14"/>
      <c r="C778" s="14"/>
      <c r="D778" s="14">
        <f>1104.16+72.06+350+795+76.47+2650+4100+252.64+137.65+3836.53+45.88</f>
        <v>13420.39</v>
      </c>
      <c r="E778" s="14">
        <v>215.16</v>
      </c>
      <c r="F778" s="14"/>
      <c r="G778" s="14"/>
      <c r="H778" s="14"/>
      <c r="I778" s="14"/>
      <c r="J778" s="14">
        <f t="shared" si="192"/>
        <v>13635.55</v>
      </c>
      <c r="L778" s="19"/>
    </row>
    <row r="779" spans="1:12" x14ac:dyDescent="0.25">
      <c r="A779" s="9" t="s">
        <v>13</v>
      </c>
      <c r="B779" s="14"/>
      <c r="C779" s="14"/>
      <c r="D779" s="14">
        <v>1000.42</v>
      </c>
      <c r="E779" s="14"/>
      <c r="F779" s="14"/>
      <c r="G779" s="14"/>
      <c r="H779" s="14"/>
      <c r="I779" s="14"/>
      <c r="J779" s="14">
        <f t="shared" si="192"/>
        <v>1000.42</v>
      </c>
      <c r="L779" s="19"/>
    </row>
    <row r="780" spans="1:12" x14ac:dyDescent="0.25">
      <c r="A780" s="9" t="s">
        <v>14</v>
      </c>
      <c r="B780" s="14"/>
      <c r="C780" s="14"/>
      <c r="D780" s="14">
        <f>138.77+5147.63+3738.23+998.62</f>
        <v>10023.250000000002</v>
      </c>
      <c r="E780" s="14"/>
      <c r="F780" s="14"/>
      <c r="G780" s="14"/>
      <c r="H780" s="14"/>
      <c r="I780" s="14"/>
      <c r="J780" s="14">
        <f t="shared" si="192"/>
        <v>10023.250000000002</v>
      </c>
      <c r="L780" s="19"/>
    </row>
    <row r="781" spans="1:12" x14ac:dyDescent="0.25">
      <c r="A781" s="9" t="s">
        <v>15</v>
      </c>
      <c r="B781" s="14"/>
      <c r="C781" s="14"/>
      <c r="D781" s="14">
        <v>2944.48</v>
      </c>
      <c r="E781" s="14"/>
      <c r="F781" s="14"/>
      <c r="G781" s="14"/>
      <c r="H781" s="14"/>
      <c r="I781" s="14"/>
      <c r="J781" s="14">
        <f t="shared" si="192"/>
        <v>2944.48</v>
      </c>
      <c r="L781" s="19"/>
    </row>
    <row r="782" spans="1:12" x14ac:dyDescent="0.25">
      <c r="A782" s="9" t="s">
        <v>16</v>
      </c>
      <c r="B782" s="14"/>
      <c r="C782" s="14"/>
      <c r="D782" s="14"/>
      <c r="E782" s="14"/>
      <c r="F782" s="14"/>
      <c r="G782" s="14"/>
      <c r="H782" s="14"/>
      <c r="I782" s="14"/>
      <c r="J782" s="14">
        <f t="shared" si="192"/>
        <v>0</v>
      </c>
      <c r="L782" s="19"/>
    </row>
    <row r="783" spans="1:12" x14ac:dyDescent="0.25">
      <c r="A783" s="9" t="s">
        <v>17</v>
      </c>
      <c r="B783" s="14"/>
      <c r="C783" s="14"/>
      <c r="D783" s="14"/>
      <c r="E783" s="14"/>
      <c r="F783" s="14"/>
      <c r="G783" s="14"/>
      <c r="H783" s="14"/>
      <c r="I783" s="14"/>
      <c r="J783" s="14">
        <f t="shared" si="192"/>
        <v>0</v>
      </c>
      <c r="L783" s="19"/>
    </row>
    <row r="784" spans="1:12" x14ac:dyDescent="0.25">
      <c r="A784" s="9" t="s">
        <v>18</v>
      </c>
      <c r="B784" s="14">
        <f>7429.4+1233</f>
        <v>8662.4</v>
      </c>
      <c r="C784" s="14"/>
      <c r="D784" s="14"/>
      <c r="E784" s="14"/>
      <c r="F784" s="14"/>
      <c r="G784" s="14"/>
      <c r="H784" s="14"/>
      <c r="I784" s="14"/>
      <c r="J784" s="14">
        <f t="shared" si="192"/>
        <v>8662.4</v>
      </c>
      <c r="L784" s="19"/>
    </row>
    <row r="785" spans="1:12" x14ac:dyDescent="0.25">
      <c r="A785" s="9" t="s">
        <v>19</v>
      </c>
      <c r="B785" s="14"/>
      <c r="C785" s="14"/>
      <c r="D785" s="14"/>
      <c r="E785" s="14"/>
      <c r="F785" s="14"/>
      <c r="G785" s="14"/>
      <c r="H785" s="14"/>
      <c r="I785" s="14"/>
      <c r="J785" s="14">
        <f t="shared" si="192"/>
        <v>0</v>
      </c>
      <c r="L785" s="19"/>
    </row>
    <row r="786" spans="1:12" x14ac:dyDescent="0.25">
      <c r="A786" s="9" t="s">
        <v>20</v>
      </c>
      <c r="B786" s="14"/>
      <c r="C786" s="14"/>
      <c r="D786" s="14"/>
      <c r="E786" s="14"/>
      <c r="F786" s="14"/>
      <c r="G786" s="14"/>
      <c r="H786" s="14"/>
      <c r="I786" s="14"/>
      <c r="J786" s="14">
        <f t="shared" si="192"/>
        <v>0</v>
      </c>
      <c r="L786" s="19"/>
    </row>
    <row r="787" spans="1:12" x14ac:dyDescent="0.25">
      <c r="A787" s="5" t="s">
        <v>21</v>
      </c>
      <c r="B787" s="14">
        <f t="shared" ref="B787:I787" si="193">SUM(B777:B786)</f>
        <v>8662.4</v>
      </c>
      <c r="C787" s="14">
        <f t="shared" si="193"/>
        <v>0</v>
      </c>
      <c r="D787" s="14">
        <f t="shared" si="193"/>
        <v>522303.35</v>
      </c>
      <c r="E787" s="14">
        <f t="shared" si="193"/>
        <v>215.16</v>
      </c>
      <c r="F787" s="14">
        <f t="shared" si="193"/>
        <v>0</v>
      </c>
      <c r="G787" s="14">
        <f t="shared" si="193"/>
        <v>0</v>
      </c>
      <c r="H787" s="14">
        <f t="shared" si="193"/>
        <v>0</v>
      </c>
      <c r="I787" s="14">
        <f t="shared" si="193"/>
        <v>0</v>
      </c>
      <c r="J787" s="14">
        <f t="shared" si="192"/>
        <v>531180.91</v>
      </c>
      <c r="L787" s="19"/>
    </row>
    <row r="788" spans="1:12" x14ac:dyDescent="0.25">
      <c r="A788" s="9" t="s">
        <v>22</v>
      </c>
      <c r="B788" s="14"/>
      <c r="C788" s="14"/>
      <c r="D788" s="14"/>
      <c r="E788" s="14"/>
      <c r="F788" s="14"/>
      <c r="G788" s="14"/>
      <c r="H788" s="14"/>
      <c r="I788" s="14"/>
      <c r="J788" s="14">
        <f t="shared" si="192"/>
        <v>0</v>
      </c>
      <c r="L788" s="19"/>
    </row>
    <row r="789" spans="1:12" x14ac:dyDescent="0.25">
      <c r="A789" s="9" t="s">
        <v>23</v>
      </c>
      <c r="B789" s="14"/>
      <c r="C789" s="14"/>
      <c r="D789" s="14"/>
      <c r="E789" s="14"/>
      <c r="F789" s="14"/>
      <c r="G789" s="14"/>
      <c r="H789" s="14"/>
      <c r="I789" s="14"/>
      <c r="J789" s="14">
        <f t="shared" si="192"/>
        <v>0</v>
      </c>
      <c r="L789" s="19"/>
    </row>
    <row r="790" spans="1:12" x14ac:dyDescent="0.25">
      <c r="A790" s="5" t="s">
        <v>42</v>
      </c>
      <c r="B790" s="14">
        <f t="shared" ref="B790:J790" si="194">SUM(B788:B789)</f>
        <v>0</v>
      </c>
      <c r="C790" s="14">
        <f t="shared" si="194"/>
        <v>0</v>
      </c>
      <c r="D790" s="14">
        <f t="shared" si="194"/>
        <v>0</v>
      </c>
      <c r="E790" s="14">
        <f t="shared" si="194"/>
        <v>0</v>
      </c>
      <c r="F790" s="14">
        <f t="shared" si="194"/>
        <v>0</v>
      </c>
      <c r="G790" s="14">
        <f t="shared" si="194"/>
        <v>0</v>
      </c>
      <c r="H790" s="14">
        <f t="shared" si="194"/>
        <v>0</v>
      </c>
      <c r="I790" s="14">
        <f t="shared" si="194"/>
        <v>0</v>
      </c>
      <c r="J790" s="14">
        <f t="shared" si="194"/>
        <v>0</v>
      </c>
      <c r="L790" s="19"/>
    </row>
    <row r="791" spans="1:12" x14ac:dyDescent="0.25">
      <c r="A791" s="5" t="s">
        <v>24</v>
      </c>
      <c r="B791" s="14">
        <f t="shared" ref="B791:J791" si="195">B787+B790</f>
        <v>8662.4</v>
      </c>
      <c r="C791" s="14">
        <f t="shared" si="195"/>
        <v>0</v>
      </c>
      <c r="D791" s="14">
        <f t="shared" si="195"/>
        <v>522303.35</v>
      </c>
      <c r="E791" s="14">
        <f t="shared" si="195"/>
        <v>215.16</v>
      </c>
      <c r="F791" s="14">
        <f t="shared" si="195"/>
        <v>0</v>
      </c>
      <c r="G791" s="14">
        <f t="shared" si="195"/>
        <v>0</v>
      </c>
      <c r="H791" s="14">
        <f t="shared" si="195"/>
        <v>0</v>
      </c>
      <c r="I791" s="14">
        <f t="shared" si="195"/>
        <v>0</v>
      </c>
      <c r="J791" s="14">
        <f t="shared" si="195"/>
        <v>531180.91</v>
      </c>
      <c r="L791" s="19"/>
    </row>
    <row r="792" spans="1:12" x14ac:dyDescent="0.25">
      <c r="A792" s="10" t="s">
        <v>79</v>
      </c>
      <c r="B792" s="14"/>
      <c r="C792" s="14"/>
      <c r="D792" s="14"/>
      <c r="E792" s="14"/>
      <c r="F792" s="14"/>
      <c r="G792" s="14"/>
      <c r="H792" s="14"/>
      <c r="I792" s="14"/>
      <c r="J792" s="14"/>
      <c r="L792" s="19"/>
    </row>
    <row r="793" spans="1:12" x14ac:dyDescent="0.25">
      <c r="A793" s="9" t="s">
        <v>11</v>
      </c>
      <c r="B793" s="14"/>
      <c r="C793" s="14"/>
      <c r="D793" s="14">
        <f>396256.72+72790.36+72790.36</f>
        <v>541837.43999999994</v>
      </c>
      <c r="E793" s="14"/>
      <c r="F793" s="14"/>
      <c r="G793" s="14"/>
      <c r="H793" s="14"/>
      <c r="I793" s="14"/>
      <c r="J793" s="14">
        <f t="shared" ref="J793:J805" si="196">SUM(B793:I793)</f>
        <v>541837.43999999994</v>
      </c>
      <c r="L793" s="19"/>
    </row>
    <row r="794" spans="1:12" x14ac:dyDescent="0.25">
      <c r="A794" s="9" t="s">
        <v>12</v>
      </c>
      <c r="B794" s="14"/>
      <c r="C794" s="14"/>
      <c r="D794" s="14">
        <f>6650+1104.16+144.12+450+795+152.94+2650+505.28+120+275.3+3836.53+45.88+45.88</f>
        <v>16775.09</v>
      </c>
      <c r="E794" s="14">
        <v>215.16</v>
      </c>
      <c r="F794" s="14"/>
      <c r="G794" s="14"/>
      <c r="H794" s="14"/>
      <c r="I794" s="14"/>
      <c r="J794" s="14">
        <f t="shared" si="196"/>
        <v>16990.25</v>
      </c>
      <c r="L794" s="19"/>
    </row>
    <row r="795" spans="1:12" x14ac:dyDescent="0.25">
      <c r="A795" s="9" t="s">
        <v>13</v>
      </c>
      <c r="B795" s="14"/>
      <c r="C795" s="14"/>
      <c r="D795" s="14">
        <v>1000.42</v>
      </c>
      <c r="E795" s="14"/>
      <c r="F795" s="14"/>
      <c r="G795" s="14"/>
      <c r="H795" s="14"/>
      <c r="I795" s="14"/>
      <c r="J795" s="14">
        <f t="shared" si="196"/>
        <v>1000.42</v>
      </c>
      <c r="L795" s="19"/>
    </row>
    <row r="796" spans="1:12" x14ac:dyDescent="0.25">
      <c r="A796" s="9" t="s">
        <v>14</v>
      </c>
      <c r="B796" s="14"/>
      <c r="C796" s="14"/>
      <c r="D796" s="14">
        <f>277.54+888+444</f>
        <v>1609.54</v>
      </c>
      <c r="E796" s="14"/>
      <c r="F796" s="14"/>
      <c r="G796" s="14"/>
      <c r="H796" s="14"/>
      <c r="I796" s="14"/>
      <c r="J796" s="14">
        <f t="shared" si="196"/>
        <v>1609.54</v>
      </c>
      <c r="L796" s="19"/>
    </row>
    <row r="797" spans="1:12" x14ac:dyDescent="0.25">
      <c r="A797" s="9" t="s">
        <v>15</v>
      </c>
      <c r="B797" s="14"/>
      <c r="C797" s="14"/>
      <c r="D797" s="14">
        <v>1655.8</v>
      </c>
      <c r="E797" s="14"/>
      <c r="F797" s="14"/>
      <c r="G797" s="14"/>
      <c r="H797" s="14"/>
      <c r="I797" s="14"/>
      <c r="J797" s="14">
        <f t="shared" si="196"/>
        <v>1655.8</v>
      </c>
      <c r="L797" s="19"/>
    </row>
    <row r="798" spans="1:12" x14ac:dyDescent="0.25">
      <c r="A798" s="9" t="s">
        <v>16</v>
      </c>
      <c r="B798" s="14"/>
      <c r="C798" s="14"/>
      <c r="D798" s="14"/>
      <c r="E798" s="14"/>
      <c r="F798" s="14"/>
      <c r="G798" s="14"/>
      <c r="H798" s="14"/>
      <c r="I798" s="14"/>
      <c r="J798" s="14">
        <f t="shared" si="196"/>
        <v>0</v>
      </c>
      <c r="L798" s="19"/>
    </row>
    <row r="799" spans="1:12" x14ac:dyDescent="0.25">
      <c r="A799" s="9" t="s">
        <v>17</v>
      </c>
      <c r="B799" s="14"/>
      <c r="C799" s="14"/>
      <c r="D799" s="14"/>
      <c r="E799" s="14"/>
      <c r="F799" s="14"/>
      <c r="G799" s="14"/>
      <c r="H799" s="14"/>
      <c r="I799" s="14"/>
      <c r="J799" s="14">
        <f t="shared" si="196"/>
        <v>0</v>
      </c>
      <c r="L799" s="19"/>
    </row>
    <row r="800" spans="1:12" x14ac:dyDescent="0.25">
      <c r="A800" s="9" t="s">
        <v>18</v>
      </c>
      <c r="B800" s="14"/>
      <c r="C800" s="14"/>
      <c r="D800" s="14"/>
      <c r="E800" s="14"/>
      <c r="F800" s="14"/>
      <c r="G800" s="14"/>
      <c r="H800" s="14"/>
      <c r="I800" s="14"/>
      <c r="J800" s="14">
        <f t="shared" si="196"/>
        <v>0</v>
      </c>
      <c r="L800" s="19"/>
    </row>
    <row r="801" spans="1:12" x14ac:dyDescent="0.25">
      <c r="A801" s="9" t="s">
        <v>19</v>
      </c>
      <c r="B801" s="14"/>
      <c r="C801" s="14"/>
      <c r="D801" s="14"/>
      <c r="E801" s="14"/>
      <c r="F801" s="14"/>
      <c r="G801" s="14"/>
      <c r="H801" s="14"/>
      <c r="I801" s="14"/>
      <c r="J801" s="14">
        <f t="shared" si="196"/>
        <v>0</v>
      </c>
      <c r="L801" s="19"/>
    </row>
    <row r="802" spans="1:12" x14ac:dyDescent="0.25">
      <c r="A802" s="9" t="s">
        <v>20</v>
      </c>
      <c r="B802" s="14"/>
      <c r="C802" s="14"/>
      <c r="D802" s="14"/>
      <c r="E802" s="14"/>
      <c r="F802" s="14"/>
      <c r="G802" s="14"/>
      <c r="H802" s="14"/>
      <c r="I802" s="14"/>
      <c r="J802" s="14">
        <f t="shared" si="196"/>
        <v>0</v>
      </c>
      <c r="L802" s="19"/>
    </row>
    <row r="803" spans="1:12" x14ac:dyDescent="0.25">
      <c r="A803" s="5" t="s">
        <v>21</v>
      </c>
      <c r="B803" s="14">
        <f t="shared" ref="B803:I803" si="197">SUM(B793:B802)</f>
        <v>0</v>
      </c>
      <c r="C803" s="14">
        <f t="shared" si="197"/>
        <v>0</v>
      </c>
      <c r="D803" s="14">
        <f t="shared" si="197"/>
        <v>562878.29</v>
      </c>
      <c r="E803" s="14">
        <f t="shared" si="197"/>
        <v>215.16</v>
      </c>
      <c r="F803" s="14">
        <f t="shared" si="197"/>
        <v>0</v>
      </c>
      <c r="G803" s="14">
        <f t="shared" si="197"/>
        <v>0</v>
      </c>
      <c r="H803" s="14">
        <f t="shared" si="197"/>
        <v>0</v>
      </c>
      <c r="I803" s="14">
        <f t="shared" si="197"/>
        <v>0</v>
      </c>
      <c r="J803" s="14">
        <f t="shared" si="196"/>
        <v>563093.45000000007</v>
      </c>
      <c r="L803" s="19"/>
    </row>
    <row r="804" spans="1:12" x14ac:dyDescent="0.25">
      <c r="A804" s="9" t="s">
        <v>22</v>
      </c>
      <c r="B804" s="14"/>
      <c r="C804" s="14"/>
      <c r="D804" s="14"/>
      <c r="E804" s="14"/>
      <c r="F804" s="14"/>
      <c r="G804" s="14">
        <v>22000</v>
      </c>
      <c r="H804" s="14"/>
      <c r="I804" s="14"/>
      <c r="J804" s="14">
        <f t="shared" si="196"/>
        <v>22000</v>
      </c>
      <c r="L804" s="19"/>
    </row>
    <row r="805" spans="1:12" x14ac:dyDescent="0.25">
      <c r="A805" s="9" t="s">
        <v>23</v>
      </c>
      <c r="B805" s="14"/>
      <c r="C805" s="14"/>
      <c r="D805" s="14"/>
      <c r="E805" s="14"/>
      <c r="F805" s="14"/>
      <c r="G805" s="14"/>
      <c r="H805" s="14"/>
      <c r="I805" s="14"/>
      <c r="J805" s="14">
        <f t="shared" si="196"/>
        <v>0</v>
      </c>
      <c r="L805" s="19"/>
    </row>
    <row r="806" spans="1:12" x14ac:dyDescent="0.25">
      <c r="A806" s="5" t="s">
        <v>42</v>
      </c>
      <c r="B806" s="14">
        <f t="shared" ref="B806:J806" si="198">SUM(B804:B805)</f>
        <v>0</v>
      </c>
      <c r="C806" s="14">
        <f t="shared" si="198"/>
        <v>0</v>
      </c>
      <c r="D806" s="14">
        <f t="shared" si="198"/>
        <v>0</v>
      </c>
      <c r="E806" s="14">
        <f t="shared" si="198"/>
        <v>0</v>
      </c>
      <c r="F806" s="14">
        <f t="shared" si="198"/>
        <v>0</v>
      </c>
      <c r="G806" s="14">
        <f t="shared" si="198"/>
        <v>22000</v>
      </c>
      <c r="H806" s="14">
        <f t="shared" si="198"/>
        <v>0</v>
      </c>
      <c r="I806" s="14">
        <f t="shared" si="198"/>
        <v>0</v>
      </c>
      <c r="J806" s="14">
        <f t="shared" si="198"/>
        <v>22000</v>
      </c>
      <c r="L806" s="19"/>
    </row>
    <row r="807" spans="1:12" x14ac:dyDescent="0.25">
      <c r="A807" s="5" t="s">
        <v>24</v>
      </c>
      <c r="B807" s="14">
        <f t="shared" ref="B807:J807" si="199">B803+B806</f>
        <v>0</v>
      </c>
      <c r="C807" s="14">
        <f t="shared" si="199"/>
        <v>0</v>
      </c>
      <c r="D807" s="14">
        <f t="shared" si="199"/>
        <v>562878.29</v>
      </c>
      <c r="E807" s="14">
        <f t="shared" si="199"/>
        <v>215.16</v>
      </c>
      <c r="F807" s="14">
        <f t="shared" si="199"/>
        <v>0</v>
      </c>
      <c r="G807" s="14">
        <f t="shared" si="199"/>
        <v>22000</v>
      </c>
      <c r="H807" s="14">
        <f t="shared" si="199"/>
        <v>0</v>
      </c>
      <c r="I807" s="14">
        <f t="shared" si="199"/>
        <v>0</v>
      </c>
      <c r="J807" s="14">
        <f t="shared" si="199"/>
        <v>585093.45000000007</v>
      </c>
      <c r="L807" s="19"/>
    </row>
    <row r="808" spans="1:12" x14ac:dyDescent="0.25">
      <c r="A808" s="10" t="s">
        <v>80</v>
      </c>
      <c r="B808" s="14"/>
      <c r="C808" s="14"/>
      <c r="D808" s="14"/>
      <c r="E808" s="14"/>
      <c r="F808" s="14"/>
      <c r="G808" s="14"/>
      <c r="H808" s="14"/>
      <c r="I808" s="14"/>
      <c r="J808" s="14"/>
      <c r="L808" s="19"/>
    </row>
    <row r="809" spans="1:12" x14ac:dyDescent="0.25">
      <c r="A809" s="9" t="s">
        <v>11</v>
      </c>
      <c r="B809" s="14"/>
      <c r="C809" s="14"/>
      <c r="D809" s="14">
        <f>435868.14+64560.84+64560.84</f>
        <v>564989.81999999995</v>
      </c>
      <c r="E809" s="14"/>
      <c r="F809" s="14"/>
      <c r="G809" s="14"/>
      <c r="H809" s="14"/>
      <c r="I809" s="14"/>
      <c r="J809" s="14">
        <f t="shared" ref="J809:J821" si="200">SUM(B809:I809)</f>
        <v>564989.81999999995</v>
      </c>
      <c r="L809" s="19"/>
    </row>
    <row r="810" spans="1:12" x14ac:dyDescent="0.25">
      <c r="A810" s="9" t="s">
        <v>12</v>
      </c>
      <c r="B810" s="14"/>
      <c r="C810" s="14"/>
      <c r="D810" s="14">
        <f>1104.16+144.12+190+795+152.94+2650+505.28+15.08+804.25+275.3+3836.54+45.88+45.88</f>
        <v>10564.429999999998</v>
      </c>
      <c r="E810" s="14">
        <v>215.16</v>
      </c>
      <c r="F810" s="14"/>
      <c r="G810" s="14"/>
      <c r="H810" s="14"/>
      <c r="I810" s="14"/>
      <c r="J810" s="14">
        <f t="shared" si="200"/>
        <v>10779.589999999998</v>
      </c>
      <c r="L810" s="19"/>
    </row>
    <row r="811" spans="1:12" x14ac:dyDescent="0.25">
      <c r="A811" s="9" t="s">
        <v>13</v>
      </c>
      <c r="B811" s="14"/>
      <c r="C811" s="14"/>
      <c r="D811" s="14">
        <v>1000.42</v>
      </c>
      <c r="E811" s="14"/>
      <c r="F811" s="14"/>
      <c r="G811" s="14"/>
      <c r="H811" s="14"/>
      <c r="I811" s="14"/>
      <c r="J811" s="14">
        <f t="shared" si="200"/>
        <v>1000.42</v>
      </c>
      <c r="L811" s="19"/>
    </row>
    <row r="812" spans="1:12" x14ac:dyDescent="0.25">
      <c r="A812" s="9" t="s">
        <v>14</v>
      </c>
      <c r="B812" s="14"/>
      <c r="C812" s="14"/>
      <c r="D812" s="14">
        <f>277.54+463.73+5147.63+3738.23+618.3+446+998.62</f>
        <v>11690.05</v>
      </c>
      <c r="E812" s="14"/>
      <c r="F812" s="14"/>
      <c r="G812" s="14"/>
      <c r="H812" s="14"/>
      <c r="I812" s="14"/>
      <c r="J812" s="14">
        <f t="shared" si="200"/>
        <v>11690.05</v>
      </c>
      <c r="L812" s="19"/>
    </row>
    <row r="813" spans="1:12" x14ac:dyDescent="0.25">
      <c r="A813" s="9" t="s">
        <v>15</v>
      </c>
      <c r="B813" s="14"/>
      <c r="C813" s="14"/>
      <c r="D813" s="14">
        <v>1800</v>
      </c>
      <c r="E813" s="14"/>
      <c r="F813" s="14"/>
      <c r="G813" s="14"/>
      <c r="H813" s="14"/>
      <c r="I813" s="14"/>
      <c r="J813" s="14">
        <f t="shared" si="200"/>
        <v>1800</v>
      </c>
      <c r="L813" s="19"/>
    </row>
    <row r="814" spans="1:12" x14ac:dyDescent="0.25">
      <c r="A814" s="9" t="s">
        <v>16</v>
      </c>
      <c r="B814" s="14"/>
      <c r="C814" s="14"/>
      <c r="D814" s="14"/>
      <c r="E814" s="14"/>
      <c r="F814" s="14"/>
      <c r="G814" s="14"/>
      <c r="H814" s="14"/>
      <c r="I814" s="14"/>
      <c r="J814" s="14">
        <f t="shared" si="200"/>
        <v>0</v>
      </c>
      <c r="L814" s="19"/>
    </row>
    <row r="815" spans="1:12" x14ac:dyDescent="0.25">
      <c r="A815" s="9" t="s">
        <v>17</v>
      </c>
      <c r="B815" s="14"/>
      <c r="C815" s="14"/>
      <c r="D815" s="14"/>
      <c r="E815" s="14"/>
      <c r="F815" s="14"/>
      <c r="G815" s="14"/>
      <c r="H815" s="14"/>
      <c r="I815" s="14"/>
      <c r="J815" s="14">
        <f t="shared" si="200"/>
        <v>0</v>
      </c>
      <c r="L815" s="19"/>
    </row>
    <row r="816" spans="1:12" x14ac:dyDescent="0.25">
      <c r="A816" s="9" t="s">
        <v>18</v>
      </c>
      <c r="B816" s="14">
        <f>66993.08+1165.51+2302.84</f>
        <v>70461.429999999993</v>
      </c>
      <c r="C816" s="14"/>
      <c r="D816" s="14"/>
      <c r="E816" s="14"/>
      <c r="F816" s="14"/>
      <c r="G816" s="14">
        <v>70000</v>
      </c>
      <c r="H816" s="14"/>
      <c r="I816" s="14"/>
      <c r="J816" s="14">
        <f t="shared" si="200"/>
        <v>140461.43</v>
      </c>
      <c r="L816" s="19"/>
    </row>
    <row r="817" spans="1:12" x14ac:dyDescent="0.25">
      <c r="A817" s="9" t="s">
        <v>19</v>
      </c>
      <c r="B817" s="14"/>
      <c r="C817" s="14"/>
      <c r="D817" s="14"/>
      <c r="E817" s="14"/>
      <c r="F817" s="14"/>
      <c r="G817" s="14"/>
      <c r="H817" s="14"/>
      <c r="I817" s="14"/>
      <c r="J817" s="14">
        <f t="shared" si="200"/>
        <v>0</v>
      </c>
      <c r="L817" s="19"/>
    </row>
    <row r="818" spans="1:12" x14ac:dyDescent="0.25">
      <c r="A818" s="9" t="s">
        <v>20</v>
      </c>
      <c r="B818" s="14"/>
      <c r="C818" s="14"/>
      <c r="D818" s="14"/>
      <c r="E818" s="14"/>
      <c r="F818" s="14"/>
      <c r="G818" s="14"/>
      <c r="H818" s="14"/>
      <c r="I818" s="14"/>
      <c r="J818" s="14">
        <f t="shared" si="200"/>
        <v>0</v>
      </c>
      <c r="L818" s="19"/>
    </row>
    <row r="819" spans="1:12" x14ac:dyDescent="0.25">
      <c r="A819" s="5" t="s">
        <v>21</v>
      </c>
      <c r="B819" s="14">
        <f t="shared" ref="B819:I819" si="201">SUM(B809:B818)</f>
        <v>70461.429999999993</v>
      </c>
      <c r="C819" s="14">
        <f t="shared" si="201"/>
        <v>0</v>
      </c>
      <c r="D819" s="14">
        <f t="shared" si="201"/>
        <v>590044.72000000009</v>
      </c>
      <c r="E819" s="14">
        <f t="shared" si="201"/>
        <v>215.16</v>
      </c>
      <c r="F819" s="14">
        <f t="shared" si="201"/>
        <v>0</v>
      </c>
      <c r="G819" s="14">
        <f t="shared" si="201"/>
        <v>70000</v>
      </c>
      <c r="H819" s="14">
        <f t="shared" si="201"/>
        <v>0</v>
      </c>
      <c r="I819" s="14">
        <f t="shared" si="201"/>
        <v>0</v>
      </c>
      <c r="J819" s="14">
        <f t="shared" si="200"/>
        <v>730721.31000000017</v>
      </c>
      <c r="L819" s="19"/>
    </row>
    <row r="820" spans="1:12" x14ac:dyDescent="0.25">
      <c r="A820" s="9" t="s">
        <v>22</v>
      </c>
      <c r="B820" s="14"/>
      <c r="C820" s="14"/>
      <c r="D820" s="14"/>
      <c r="E820" s="14"/>
      <c r="F820" s="14"/>
      <c r="G820" s="14"/>
      <c r="H820" s="14"/>
      <c r="I820" s="14"/>
      <c r="J820" s="14">
        <f t="shared" si="200"/>
        <v>0</v>
      </c>
      <c r="L820" s="19"/>
    </row>
    <row r="821" spans="1:12" x14ac:dyDescent="0.25">
      <c r="A821" s="9" t="s">
        <v>23</v>
      </c>
      <c r="B821" s="14"/>
      <c r="C821" s="14"/>
      <c r="D821" s="14"/>
      <c r="E821" s="14"/>
      <c r="F821" s="14"/>
      <c r="G821" s="14"/>
      <c r="H821" s="14"/>
      <c r="I821" s="14"/>
      <c r="J821" s="14">
        <f t="shared" si="200"/>
        <v>0</v>
      </c>
      <c r="L821" s="19"/>
    </row>
    <row r="822" spans="1:12" x14ac:dyDescent="0.25">
      <c r="A822" s="5" t="s">
        <v>42</v>
      </c>
      <c r="B822" s="14">
        <f t="shared" ref="B822:J822" si="202">SUM(B820:B821)</f>
        <v>0</v>
      </c>
      <c r="C822" s="14">
        <f t="shared" si="202"/>
        <v>0</v>
      </c>
      <c r="D822" s="14">
        <f t="shared" si="202"/>
        <v>0</v>
      </c>
      <c r="E822" s="14">
        <f t="shared" si="202"/>
        <v>0</v>
      </c>
      <c r="F822" s="14">
        <f t="shared" si="202"/>
        <v>0</v>
      </c>
      <c r="G822" s="14">
        <f t="shared" si="202"/>
        <v>0</v>
      </c>
      <c r="H822" s="14">
        <f t="shared" si="202"/>
        <v>0</v>
      </c>
      <c r="I822" s="14">
        <f t="shared" si="202"/>
        <v>0</v>
      </c>
      <c r="J822" s="14">
        <f t="shared" si="202"/>
        <v>0</v>
      </c>
      <c r="L822" s="19"/>
    </row>
    <row r="823" spans="1:12" x14ac:dyDescent="0.25">
      <c r="A823" s="5" t="s">
        <v>24</v>
      </c>
      <c r="B823" s="14">
        <f t="shared" ref="B823:J823" si="203">B819+B822</f>
        <v>70461.429999999993</v>
      </c>
      <c r="C823" s="14">
        <f t="shared" si="203"/>
        <v>0</v>
      </c>
      <c r="D823" s="14">
        <f t="shared" si="203"/>
        <v>590044.72000000009</v>
      </c>
      <c r="E823" s="14">
        <f t="shared" si="203"/>
        <v>215.16</v>
      </c>
      <c r="F823" s="14">
        <f t="shared" si="203"/>
        <v>0</v>
      </c>
      <c r="G823" s="14">
        <f t="shared" si="203"/>
        <v>70000</v>
      </c>
      <c r="H823" s="14">
        <f t="shared" si="203"/>
        <v>0</v>
      </c>
      <c r="I823" s="14">
        <f t="shared" si="203"/>
        <v>0</v>
      </c>
      <c r="J823" s="14">
        <f t="shared" si="203"/>
        <v>730721.31000000017</v>
      </c>
      <c r="L823" s="19"/>
    </row>
    <row r="824" spans="1:12" x14ac:dyDescent="0.25">
      <c r="A824" s="10" t="s">
        <v>81</v>
      </c>
      <c r="B824" s="14"/>
      <c r="C824" s="14"/>
      <c r="D824" s="14"/>
      <c r="E824" s="14"/>
      <c r="F824" s="14"/>
      <c r="G824" s="14"/>
      <c r="H824" s="14"/>
      <c r="I824" s="14"/>
      <c r="J824" s="14"/>
      <c r="L824" s="19"/>
    </row>
    <row r="825" spans="1:12" x14ac:dyDescent="0.25">
      <c r="A825" s="9" t="s">
        <v>11</v>
      </c>
      <c r="B825" s="14"/>
      <c r="C825" s="14"/>
      <c r="D825" s="14">
        <f>45024.62+6394.33+6394.33</f>
        <v>57813.280000000006</v>
      </c>
      <c r="E825" s="14"/>
      <c r="F825" s="14"/>
      <c r="G825" s="14"/>
      <c r="H825" s="14"/>
      <c r="I825" s="14"/>
      <c r="J825" s="14">
        <f t="shared" ref="J825:J837" si="204">SUM(B825:I825)</f>
        <v>57813.280000000006</v>
      </c>
      <c r="L825" s="19"/>
    </row>
    <row r="826" spans="1:12" x14ac:dyDescent="0.25">
      <c r="A826" s="9" t="s">
        <v>12</v>
      </c>
      <c r="B826" s="14"/>
      <c r="C826" s="14"/>
      <c r="D826" s="14"/>
      <c r="E826" s="14">
        <v>215.16</v>
      </c>
      <c r="F826" s="14"/>
      <c r="G826" s="14"/>
      <c r="H826" s="14"/>
      <c r="I826" s="14"/>
      <c r="J826" s="14">
        <f t="shared" si="204"/>
        <v>215.16</v>
      </c>
      <c r="L826" s="19"/>
    </row>
    <row r="827" spans="1:12" x14ac:dyDescent="0.25">
      <c r="A827" s="9" t="s">
        <v>13</v>
      </c>
      <c r="B827" s="14"/>
      <c r="C827" s="14"/>
      <c r="D827" s="14"/>
      <c r="E827" s="14"/>
      <c r="F827" s="14"/>
      <c r="G827" s="14"/>
      <c r="H827" s="14"/>
      <c r="I827" s="14"/>
      <c r="J827" s="14">
        <f t="shared" si="204"/>
        <v>0</v>
      </c>
      <c r="L827" s="19"/>
    </row>
    <row r="828" spans="1:12" x14ac:dyDescent="0.25">
      <c r="A828" s="9" t="s">
        <v>14</v>
      </c>
      <c r="B828" s="14"/>
      <c r="C828" s="14"/>
      <c r="D828" s="14"/>
      <c r="E828" s="14"/>
      <c r="F828" s="14"/>
      <c r="G828" s="14"/>
      <c r="H828" s="14"/>
      <c r="I828" s="14"/>
      <c r="J828" s="14">
        <f t="shared" si="204"/>
        <v>0</v>
      </c>
      <c r="L828" s="19"/>
    </row>
    <row r="829" spans="1:12" x14ac:dyDescent="0.25">
      <c r="A829" s="9" t="s">
        <v>15</v>
      </c>
      <c r="B829" s="14"/>
      <c r="C829" s="14"/>
      <c r="D829" s="14"/>
      <c r="E829" s="14"/>
      <c r="F829" s="14"/>
      <c r="G829" s="14"/>
      <c r="H829" s="14"/>
      <c r="I829" s="14"/>
      <c r="J829" s="14">
        <f t="shared" si="204"/>
        <v>0</v>
      </c>
      <c r="L829" s="19"/>
    </row>
    <row r="830" spans="1:12" x14ac:dyDescent="0.25">
      <c r="A830" s="9" t="s">
        <v>16</v>
      </c>
      <c r="B830" s="14"/>
      <c r="C830" s="14"/>
      <c r="D830" s="14"/>
      <c r="E830" s="14"/>
      <c r="F830" s="14"/>
      <c r="G830" s="14"/>
      <c r="H830" s="14"/>
      <c r="I830" s="14"/>
      <c r="J830" s="14">
        <f t="shared" si="204"/>
        <v>0</v>
      </c>
      <c r="L830" s="19"/>
    </row>
    <row r="831" spans="1:12" x14ac:dyDescent="0.25">
      <c r="A831" s="9" t="s">
        <v>17</v>
      </c>
      <c r="B831" s="14"/>
      <c r="C831" s="14"/>
      <c r="D831" s="14"/>
      <c r="E831" s="14"/>
      <c r="F831" s="14"/>
      <c r="G831" s="14"/>
      <c r="H831" s="14"/>
      <c r="I831" s="14"/>
      <c r="J831" s="14">
        <f t="shared" si="204"/>
        <v>0</v>
      </c>
      <c r="L831" s="19"/>
    </row>
    <row r="832" spans="1:12" x14ac:dyDescent="0.25">
      <c r="A832" s="9" t="s">
        <v>18</v>
      </c>
      <c r="B832" s="14"/>
      <c r="C832" s="14"/>
      <c r="D832" s="14"/>
      <c r="E832" s="14"/>
      <c r="F832" s="14"/>
      <c r="G832" s="14">
        <v>200</v>
      </c>
      <c r="H832" s="14"/>
      <c r="I832" s="14"/>
      <c r="J832" s="14">
        <f t="shared" si="204"/>
        <v>200</v>
      </c>
      <c r="L832" s="19"/>
    </row>
    <row r="833" spans="1:12" x14ac:dyDescent="0.25">
      <c r="A833" s="9" t="s">
        <v>19</v>
      </c>
      <c r="B833" s="14"/>
      <c r="C833" s="14"/>
      <c r="D833" s="14"/>
      <c r="E833" s="14"/>
      <c r="F833" s="14"/>
      <c r="G833" s="14"/>
      <c r="H833" s="14"/>
      <c r="I833" s="14"/>
      <c r="J833" s="14">
        <f t="shared" si="204"/>
        <v>0</v>
      </c>
      <c r="L833" s="19"/>
    </row>
    <row r="834" spans="1:12" x14ac:dyDescent="0.25">
      <c r="A834" s="9" t="s">
        <v>20</v>
      </c>
      <c r="B834" s="14"/>
      <c r="C834" s="14"/>
      <c r="D834" s="14"/>
      <c r="E834" s="14"/>
      <c r="F834" s="14"/>
      <c r="G834" s="14">
        <v>3596.52</v>
      </c>
      <c r="H834" s="14"/>
      <c r="I834" s="14"/>
      <c r="J834" s="14">
        <f t="shared" si="204"/>
        <v>3596.52</v>
      </c>
      <c r="L834" s="19"/>
    </row>
    <row r="835" spans="1:12" x14ac:dyDescent="0.25">
      <c r="A835" s="5" t="s">
        <v>21</v>
      </c>
      <c r="B835" s="14">
        <f t="shared" ref="B835:I835" si="205">SUM(B825:B834)</f>
        <v>0</v>
      </c>
      <c r="C835" s="14">
        <f t="shared" si="205"/>
        <v>0</v>
      </c>
      <c r="D835" s="14">
        <f t="shared" si="205"/>
        <v>57813.280000000006</v>
      </c>
      <c r="E835" s="14">
        <f t="shared" si="205"/>
        <v>215.16</v>
      </c>
      <c r="F835" s="14">
        <f t="shared" si="205"/>
        <v>0</v>
      </c>
      <c r="G835" s="14">
        <f t="shared" si="205"/>
        <v>3796.52</v>
      </c>
      <c r="H835" s="14">
        <f t="shared" si="205"/>
        <v>0</v>
      </c>
      <c r="I835" s="14">
        <f t="shared" si="205"/>
        <v>0</v>
      </c>
      <c r="J835" s="14">
        <f t="shared" si="204"/>
        <v>61824.960000000006</v>
      </c>
      <c r="L835" s="19"/>
    </row>
    <row r="836" spans="1:12" x14ac:dyDescent="0.25">
      <c r="A836" s="9" t="s">
        <v>22</v>
      </c>
      <c r="B836" s="14"/>
      <c r="C836" s="14"/>
      <c r="D836" s="14"/>
      <c r="E836" s="14"/>
      <c r="F836" s="14"/>
      <c r="G836" s="14"/>
      <c r="H836" s="14"/>
      <c r="I836" s="14"/>
      <c r="J836" s="14">
        <f t="shared" si="204"/>
        <v>0</v>
      </c>
      <c r="L836" s="19"/>
    </row>
    <row r="837" spans="1:12" x14ac:dyDescent="0.25">
      <c r="A837" s="9" t="s">
        <v>23</v>
      </c>
      <c r="B837" s="14"/>
      <c r="C837" s="14"/>
      <c r="D837" s="14"/>
      <c r="E837" s="14"/>
      <c r="F837" s="14"/>
      <c r="G837" s="14"/>
      <c r="H837" s="14"/>
      <c r="I837" s="14"/>
      <c r="J837" s="14">
        <f t="shared" si="204"/>
        <v>0</v>
      </c>
      <c r="L837" s="19"/>
    </row>
    <row r="838" spans="1:12" x14ac:dyDescent="0.25">
      <c r="A838" s="5" t="s">
        <v>42</v>
      </c>
      <c r="B838" s="14">
        <f t="shared" ref="B838:J838" si="206">SUM(B836:B837)</f>
        <v>0</v>
      </c>
      <c r="C838" s="14">
        <f t="shared" si="206"/>
        <v>0</v>
      </c>
      <c r="D838" s="14">
        <f t="shared" si="206"/>
        <v>0</v>
      </c>
      <c r="E838" s="14">
        <f t="shared" si="206"/>
        <v>0</v>
      </c>
      <c r="F838" s="14">
        <f t="shared" si="206"/>
        <v>0</v>
      </c>
      <c r="G838" s="14">
        <f t="shared" si="206"/>
        <v>0</v>
      </c>
      <c r="H838" s="14">
        <f t="shared" si="206"/>
        <v>0</v>
      </c>
      <c r="I838" s="14">
        <f t="shared" si="206"/>
        <v>0</v>
      </c>
      <c r="J838" s="14">
        <f t="shared" si="206"/>
        <v>0</v>
      </c>
      <c r="L838" s="19"/>
    </row>
    <row r="839" spans="1:12" x14ac:dyDescent="0.25">
      <c r="A839" s="5" t="s">
        <v>24</v>
      </c>
      <c r="B839" s="14">
        <f t="shared" ref="B839:J839" si="207">B835+B838</f>
        <v>0</v>
      </c>
      <c r="C839" s="14">
        <f t="shared" si="207"/>
        <v>0</v>
      </c>
      <c r="D839" s="14">
        <f t="shared" si="207"/>
        <v>57813.280000000006</v>
      </c>
      <c r="E839" s="14">
        <f t="shared" si="207"/>
        <v>215.16</v>
      </c>
      <c r="F839" s="14">
        <f t="shared" si="207"/>
        <v>0</v>
      </c>
      <c r="G839" s="14">
        <f t="shared" si="207"/>
        <v>3796.52</v>
      </c>
      <c r="H839" s="14">
        <f t="shared" si="207"/>
        <v>0</v>
      </c>
      <c r="I839" s="14">
        <f t="shared" si="207"/>
        <v>0</v>
      </c>
      <c r="J839" s="14">
        <f t="shared" si="207"/>
        <v>61824.960000000006</v>
      </c>
      <c r="L839" s="19"/>
    </row>
    <row r="840" spans="1:12" x14ac:dyDescent="0.25">
      <c r="A840" s="10" t="s">
        <v>82</v>
      </c>
      <c r="B840" s="14"/>
      <c r="C840" s="14"/>
      <c r="D840" s="14"/>
      <c r="E840" s="14"/>
      <c r="F840" s="14"/>
      <c r="G840" s="14"/>
      <c r="H840" s="14"/>
      <c r="I840" s="14"/>
      <c r="J840" s="14"/>
      <c r="L840" s="19"/>
    </row>
    <row r="841" spans="1:12" x14ac:dyDescent="0.25">
      <c r="A841" s="9" t="s">
        <v>11</v>
      </c>
      <c r="B841" s="14"/>
      <c r="C841" s="14"/>
      <c r="D841" s="14">
        <f>66708.39+9901.28+9901.28</f>
        <v>86510.95</v>
      </c>
      <c r="E841" s="14"/>
      <c r="F841" s="14"/>
      <c r="G841" s="14"/>
      <c r="H841" s="14"/>
      <c r="I841" s="14"/>
      <c r="J841" s="14">
        <f t="shared" ref="J841:J853" si="208">SUM(B841:I841)</f>
        <v>86510.95</v>
      </c>
      <c r="L841" s="19"/>
    </row>
    <row r="842" spans="1:12" x14ac:dyDescent="0.25">
      <c r="A842" s="9" t="s">
        <v>12</v>
      </c>
      <c r="B842" s="14"/>
      <c r="C842" s="14"/>
      <c r="D842" s="14"/>
      <c r="E842" s="14">
        <v>215.16</v>
      </c>
      <c r="F842" s="14"/>
      <c r="G842" s="14">
        <f>5186.09+320+246.37+1373+1000</f>
        <v>8125.46</v>
      </c>
      <c r="H842" s="14"/>
      <c r="I842" s="14"/>
      <c r="J842" s="14">
        <f t="shared" si="208"/>
        <v>8340.6200000000008</v>
      </c>
      <c r="L842" s="19"/>
    </row>
    <row r="843" spans="1:12" x14ac:dyDescent="0.25">
      <c r="A843" s="9" t="s">
        <v>13</v>
      </c>
      <c r="B843" s="14"/>
      <c r="C843" s="14"/>
      <c r="D843" s="14"/>
      <c r="E843" s="14"/>
      <c r="F843" s="14"/>
      <c r="G843" s="14"/>
      <c r="H843" s="14"/>
      <c r="I843" s="14"/>
      <c r="J843" s="14">
        <f t="shared" si="208"/>
        <v>0</v>
      </c>
      <c r="L843" s="19"/>
    </row>
    <row r="844" spans="1:12" x14ac:dyDescent="0.25">
      <c r="A844" s="9" t="s">
        <v>14</v>
      </c>
      <c r="B844" s="14"/>
      <c r="C844" s="14"/>
      <c r="D844" s="14"/>
      <c r="E844" s="14"/>
      <c r="F844" s="14"/>
      <c r="G844" s="14"/>
      <c r="H844" s="14"/>
      <c r="I844" s="14"/>
      <c r="J844" s="14">
        <f t="shared" si="208"/>
        <v>0</v>
      </c>
      <c r="L844" s="19"/>
    </row>
    <row r="845" spans="1:12" x14ac:dyDescent="0.25">
      <c r="A845" s="9" t="s">
        <v>15</v>
      </c>
      <c r="B845" s="14"/>
      <c r="C845" s="14"/>
      <c r="D845" s="14"/>
      <c r="E845" s="14"/>
      <c r="F845" s="14"/>
      <c r="G845" s="14"/>
      <c r="H845" s="14"/>
      <c r="I845" s="14"/>
      <c r="J845" s="14">
        <f t="shared" si="208"/>
        <v>0</v>
      </c>
      <c r="L845" s="19"/>
    </row>
    <row r="846" spans="1:12" x14ac:dyDescent="0.25">
      <c r="A846" s="9" t="s">
        <v>16</v>
      </c>
      <c r="B846" s="14"/>
      <c r="C846" s="14"/>
      <c r="D846" s="14"/>
      <c r="E846" s="14"/>
      <c r="F846" s="14"/>
      <c r="G846" s="14"/>
      <c r="H846" s="14"/>
      <c r="I846" s="14"/>
      <c r="J846" s="14">
        <f t="shared" si="208"/>
        <v>0</v>
      </c>
      <c r="L846" s="19"/>
    </row>
    <row r="847" spans="1:12" x14ac:dyDescent="0.25">
      <c r="A847" s="9" t="s">
        <v>17</v>
      </c>
      <c r="B847" s="14"/>
      <c r="C847" s="14"/>
      <c r="D847" s="14"/>
      <c r="E847" s="14"/>
      <c r="F847" s="14"/>
      <c r="G847" s="14"/>
      <c r="H847" s="14"/>
      <c r="I847" s="14"/>
      <c r="J847" s="14">
        <f t="shared" si="208"/>
        <v>0</v>
      </c>
      <c r="L847" s="19"/>
    </row>
    <row r="848" spans="1:12" x14ac:dyDescent="0.25">
      <c r="A848" s="9" t="s">
        <v>18</v>
      </c>
      <c r="B848" s="14">
        <f>208.76+34.66</f>
        <v>243.42</v>
      </c>
      <c r="C848" s="14"/>
      <c r="D848" s="14"/>
      <c r="E848" s="14"/>
      <c r="F848" s="14"/>
      <c r="G848" s="14"/>
      <c r="H848" s="14"/>
      <c r="I848" s="14"/>
      <c r="J848" s="14">
        <f t="shared" si="208"/>
        <v>243.42</v>
      </c>
      <c r="L848" s="19"/>
    </row>
    <row r="849" spans="1:19" x14ac:dyDescent="0.25">
      <c r="A849" s="9" t="s">
        <v>19</v>
      </c>
      <c r="B849" s="14"/>
      <c r="C849" s="14"/>
      <c r="D849" s="14"/>
      <c r="E849" s="14"/>
      <c r="F849" s="14"/>
      <c r="G849" s="14"/>
      <c r="H849" s="14"/>
      <c r="I849" s="14"/>
      <c r="J849" s="14">
        <f t="shared" si="208"/>
        <v>0</v>
      </c>
      <c r="L849" s="19"/>
    </row>
    <row r="850" spans="1:19" x14ac:dyDescent="0.25">
      <c r="A850" s="9" t="s">
        <v>20</v>
      </c>
      <c r="B850" s="14"/>
      <c r="C850" s="14"/>
      <c r="D850" s="14"/>
      <c r="E850" s="14"/>
      <c r="F850" s="14"/>
      <c r="G850" s="14">
        <v>3999.96</v>
      </c>
      <c r="H850" s="14"/>
      <c r="I850" s="14"/>
      <c r="J850" s="14">
        <f t="shared" si="208"/>
        <v>3999.96</v>
      </c>
      <c r="L850" s="19"/>
    </row>
    <row r="851" spans="1:19" x14ac:dyDescent="0.25">
      <c r="A851" s="5" t="s">
        <v>21</v>
      </c>
      <c r="B851" s="14">
        <f t="shared" ref="B851:I851" si="209">SUM(B841:B850)</f>
        <v>243.42</v>
      </c>
      <c r="C851" s="14">
        <f t="shared" si="209"/>
        <v>0</v>
      </c>
      <c r="D851" s="14">
        <f t="shared" si="209"/>
        <v>86510.95</v>
      </c>
      <c r="E851" s="14">
        <f t="shared" si="209"/>
        <v>215.16</v>
      </c>
      <c r="F851" s="14">
        <f t="shared" si="209"/>
        <v>0</v>
      </c>
      <c r="G851" s="14">
        <f t="shared" si="209"/>
        <v>12125.42</v>
      </c>
      <c r="H851" s="14">
        <f t="shared" si="209"/>
        <v>0</v>
      </c>
      <c r="I851" s="14">
        <f t="shared" si="209"/>
        <v>0</v>
      </c>
      <c r="J851" s="14">
        <f t="shared" si="208"/>
        <v>99094.95</v>
      </c>
      <c r="L851" s="19"/>
    </row>
    <row r="852" spans="1:19" x14ac:dyDescent="0.25">
      <c r="A852" s="9" t="s">
        <v>22</v>
      </c>
      <c r="B852" s="14"/>
      <c r="C852" s="14"/>
      <c r="D852" s="14"/>
      <c r="E852" s="14"/>
      <c r="F852" s="14"/>
      <c r="G852" s="14"/>
      <c r="H852" s="14"/>
      <c r="I852" s="14"/>
      <c r="J852" s="14">
        <f t="shared" si="208"/>
        <v>0</v>
      </c>
      <c r="L852" s="19"/>
    </row>
    <row r="853" spans="1:19" x14ac:dyDescent="0.25">
      <c r="A853" s="9" t="s">
        <v>23</v>
      </c>
      <c r="B853" s="14"/>
      <c r="C853" s="14"/>
      <c r="D853" s="14"/>
      <c r="E853" s="14"/>
      <c r="F853" s="14"/>
      <c r="G853" s="14"/>
      <c r="H853" s="14"/>
      <c r="I853" s="14"/>
      <c r="J853" s="14">
        <f t="shared" si="208"/>
        <v>0</v>
      </c>
      <c r="L853" s="19"/>
    </row>
    <row r="854" spans="1:19" x14ac:dyDescent="0.25">
      <c r="A854" s="5" t="s">
        <v>42</v>
      </c>
      <c r="B854" s="14">
        <f t="shared" ref="B854:J854" si="210">SUM(B852:B853)</f>
        <v>0</v>
      </c>
      <c r="C854" s="14">
        <f t="shared" si="210"/>
        <v>0</v>
      </c>
      <c r="D854" s="14">
        <f t="shared" si="210"/>
        <v>0</v>
      </c>
      <c r="E854" s="14">
        <f t="shared" si="210"/>
        <v>0</v>
      </c>
      <c r="F854" s="14">
        <f t="shared" si="210"/>
        <v>0</v>
      </c>
      <c r="G854" s="14">
        <f t="shared" si="210"/>
        <v>0</v>
      </c>
      <c r="H854" s="14">
        <f t="shared" si="210"/>
        <v>0</v>
      </c>
      <c r="I854" s="14">
        <f t="shared" si="210"/>
        <v>0</v>
      </c>
      <c r="J854" s="14">
        <f t="shared" si="210"/>
        <v>0</v>
      </c>
      <c r="L854" s="19"/>
    </row>
    <row r="855" spans="1:19" x14ac:dyDescent="0.25">
      <c r="A855" s="5" t="s">
        <v>24</v>
      </c>
      <c r="B855" s="14">
        <f t="shared" ref="B855:J855" si="211">B851+B854</f>
        <v>243.42</v>
      </c>
      <c r="C855" s="14">
        <f t="shared" si="211"/>
        <v>0</v>
      </c>
      <c r="D855" s="14">
        <f t="shared" si="211"/>
        <v>86510.95</v>
      </c>
      <c r="E855" s="14">
        <f t="shared" si="211"/>
        <v>215.16</v>
      </c>
      <c r="F855" s="14">
        <f t="shared" si="211"/>
        <v>0</v>
      </c>
      <c r="G855" s="14">
        <f t="shared" si="211"/>
        <v>12125.42</v>
      </c>
      <c r="H855" s="14">
        <f t="shared" si="211"/>
        <v>0</v>
      </c>
      <c r="I855" s="14">
        <f t="shared" si="211"/>
        <v>0</v>
      </c>
      <c r="J855" s="14">
        <f t="shared" si="211"/>
        <v>99094.95</v>
      </c>
      <c r="L855" s="19"/>
    </row>
    <row r="856" spans="1:19" x14ac:dyDescent="0.25">
      <c r="A856" s="10" t="s">
        <v>83</v>
      </c>
      <c r="B856" s="14"/>
      <c r="C856" s="14"/>
      <c r="D856" s="14"/>
      <c r="E856" s="14"/>
      <c r="F856" s="14"/>
      <c r="G856" s="14"/>
      <c r="H856" s="14"/>
      <c r="I856" s="14"/>
      <c r="J856" s="14"/>
      <c r="L856" s="19"/>
    </row>
    <row r="857" spans="1:19" x14ac:dyDescent="0.25">
      <c r="A857" s="9" t="s">
        <v>11</v>
      </c>
      <c r="B857" s="14"/>
      <c r="C857" s="14"/>
      <c r="D857" s="14">
        <f>85046.92+15512.19+15512.19</f>
        <v>116071.3</v>
      </c>
      <c r="E857" s="14"/>
      <c r="F857" s="14"/>
      <c r="G857" s="14"/>
      <c r="H857" s="14"/>
      <c r="I857" s="14"/>
      <c r="J857" s="14">
        <f t="shared" ref="J857:J869" si="212">SUM(B857:I857)</f>
        <v>116071.3</v>
      </c>
      <c r="L857" s="19"/>
    </row>
    <row r="858" spans="1:19" x14ac:dyDescent="0.25">
      <c r="A858" s="9" t="s">
        <v>12</v>
      </c>
      <c r="B858" s="14"/>
      <c r="C858" s="14"/>
      <c r="D858" s="14"/>
      <c r="E858" s="14">
        <v>215.16</v>
      </c>
      <c r="F858" s="14"/>
      <c r="G858" s="14">
        <f>5535.44+271.08+1000</f>
        <v>6806.5199999999995</v>
      </c>
      <c r="H858" s="14"/>
      <c r="I858" s="14"/>
      <c r="J858" s="14">
        <f t="shared" si="212"/>
        <v>7021.6799999999994</v>
      </c>
      <c r="L858" s="19"/>
      <c r="S858" s="19"/>
    </row>
    <row r="859" spans="1:19" x14ac:dyDescent="0.25">
      <c r="A859" s="9" t="s">
        <v>13</v>
      </c>
      <c r="B859" s="14"/>
      <c r="C859" s="14"/>
      <c r="D859" s="14"/>
      <c r="E859" s="14"/>
      <c r="F859" s="14"/>
      <c r="G859" s="14"/>
      <c r="H859" s="14"/>
      <c r="I859" s="14"/>
      <c r="J859" s="14">
        <f t="shared" si="212"/>
        <v>0</v>
      </c>
      <c r="L859" s="19"/>
    </row>
    <row r="860" spans="1:19" x14ac:dyDescent="0.25">
      <c r="A860" s="9" t="s">
        <v>14</v>
      </c>
      <c r="B860" s="14"/>
      <c r="C860" s="14"/>
      <c r="D860" s="14"/>
      <c r="E860" s="14"/>
      <c r="F860" s="14"/>
      <c r="G860" s="14"/>
      <c r="H860" s="14"/>
      <c r="I860" s="14"/>
      <c r="J860" s="14">
        <f t="shared" si="212"/>
        <v>0</v>
      </c>
      <c r="L860" s="19"/>
    </row>
    <row r="861" spans="1:19" x14ac:dyDescent="0.25">
      <c r="A861" s="9" t="s">
        <v>15</v>
      </c>
      <c r="B861" s="14"/>
      <c r="C861" s="14"/>
      <c r="D861" s="14"/>
      <c r="E861" s="14"/>
      <c r="F861" s="14"/>
      <c r="G861" s="14"/>
      <c r="H861" s="14"/>
      <c r="I861" s="14"/>
      <c r="J861" s="14">
        <f t="shared" si="212"/>
        <v>0</v>
      </c>
      <c r="L861" s="19"/>
    </row>
    <row r="862" spans="1:19" x14ac:dyDescent="0.25">
      <c r="A862" s="9" t="s">
        <v>16</v>
      </c>
      <c r="B862" s="14"/>
      <c r="C862" s="14"/>
      <c r="D862" s="14"/>
      <c r="E862" s="14"/>
      <c r="F862" s="14"/>
      <c r="G862" s="14"/>
      <c r="H862" s="14"/>
      <c r="I862" s="14"/>
      <c r="J862" s="14">
        <f t="shared" si="212"/>
        <v>0</v>
      </c>
      <c r="L862" s="19"/>
    </row>
    <row r="863" spans="1:19" x14ac:dyDescent="0.25">
      <c r="A863" s="9" t="s">
        <v>17</v>
      </c>
      <c r="B863" s="14"/>
      <c r="C863" s="14"/>
      <c r="D863" s="14"/>
      <c r="E863" s="14"/>
      <c r="F863" s="14"/>
      <c r="G863" s="14"/>
      <c r="H863" s="14"/>
      <c r="I863" s="14"/>
      <c r="J863" s="14">
        <f t="shared" si="212"/>
        <v>0</v>
      </c>
      <c r="L863" s="19"/>
    </row>
    <row r="864" spans="1:19" x14ac:dyDescent="0.25">
      <c r="A864" s="9" t="s">
        <v>18</v>
      </c>
      <c r="B864" s="14">
        <f>128.94+21.33</f>
        <v>150.26999999999998</v>
      </c>
      <c r="C864" s="14"/>
      <c r="D864" s="14"/>
      <c r="E864" s="14"/>
      <c r="F864" s="14"/>
      <c r="G864" s="14"/>
      <c r="H864" s="14"/>
      <c r="I864" s="14"/>
      <c r="J864" s="14">
        <f t="shared" si="212"/>
        <v>150.26999999999998</v>
      </c>
      <c r="L864" s="19"/>
    </row>
    <row r="865" spans="1:12" x14ac:dyDescent="0.25">
      <c r="A865" s="9" t="s">
        <v>19</v>
      </c>
      <c r="B865" s="14"/>
      <c r="C865" s="14"/>
      <c r="D865" s="14"/>
      <c r="E865" s="14"/>
      <c r="F865" s="14"/>
      <c r="G865" s="14"/>
      <c r="H865" s="14"/>
      <c r="I865" s="14"/>
      <c r="J865" s="14">
        <f t="shared" si="212"/>
        <v>0</v>
      </c>
      <c r="L865" s="19"/>
    </row>
    <row r="866" spans="1:12" x14ac:dyDescent="0.25">
      <c r="A866" s="9" t="s">
        <v>20</v>
      </c>
      <c r="B866" s="14"/>
      <c r="C866" s="14"/>
      <c r="D866" s="14"/>
      <c r="E866" s="14"/>
      <c r="F866" s="14"/>
      <c r="G866" s="14">
        <v>3999.96</v>
      </c>
      <c r="H866" s="14"/>
      <c r="I866" s="14"/>
      <c r="J866" s="14">
        <f t="shared" si="212"/>
        <v>3999.96</v>
      </c>
      <c r="L866" s="19"/>
    </row>
    <row r="867" spans="1:12" x14ac:dyDescent="0.25">
      <c r="A867" s="5" t="s">
        <v>21</v>
      </c>
      <c r="B867" s="14">
        <f t="shared" ref="B867:I867" si="213">SUM(B857:B866)</f>
        <v>150.26999999999998</v>
      </c>
      <c r="C867" s="14">
        <f t="shared" si="213"/>
        <v>0</v>
      </c>
      <c r="D867" s="14">
        <f t="shared" si="213"/>
        <v>116071.3</v>
      </c>
      <c r="E867" s="14">
        <f t="shared" si="213"/>
        <v>215.16</v>
      </c>
      <c r="F867" s="14">
        <f t="shared" si="213"/>
        <v>0</v>
      </c>
      <c r="G867" s="14">
        <f t="shared" si="213"/>
        <v>10806.48</v>
      </c>
      <c r="H867" s="14">
        <f t="shared" si="213"/>
        <v>0</v>
      </c>
      <c r="I867" s="14">
        <f t="shared" si="213"/>
        <v>0</v>
      </c>
      <c r="J867" s="14">
        <f t="shared" si="212"/>
        <v>127243.21</v>
      </c>
      <c r="L867" s="19"/>
    </row>
    <row r="868" spans="1:12" x14ac:dyDescent="0.25">
      <c r="A868" s="9" t="s">
        <v>22</v>
      </c>
      <c r="B868" s="14"/>
      <c r="C868" s="14"/>
      <c r="D868" s="14"/>
      <c r="E868" s="14"/>
      <c r="F868" s="14"/>
      <c r="G868" s="14"/>
      <c r="H868" s="14"/>
      <c r="I868" s="14"/>
      <c r="J868" s="14">
        <f t="shared" si="212"/>
        <v>0</v>
      </c>
      <c r="L868" s="19"/>
    </row>
    <row r="869" spans="1:12" x14ac:dyDescent="0.25">
      <c r="A869" s="9" t="s">
        <v>23</v>
      </c>
      <c r="B869" s="14"/>
      <c r="C869" s="14"/>
      <c r="D869" s="14"/>
      <c r="E869" s="14"/>
      <c r="F869" s="14"/>
      <c r="G869" s="14"/>
      <c r="H869" s="14"/>
      <c r="I869" s="14"/>
      <c r="J869" s="14">
        <f t="shared" si="212"/>
        <v>0</v>
      </c>
      <c r="L869" s="19"/>
    </row>
    <row r="870" spans="1:12" x14ac:dyDescent="0.25">
      <c r="A870" s="5" t="s">
        <v>42</v>
      </c>
      <c r="B870" s="14">
        <f t="shared" ref="B870:J870" si="214">SUM(B868:B869)</f>
        <v>0</v>
      </c>
      <c r="C870" s="14">
        <f t="shared" si="214"/>
        <v>0</v>
      </c>
      <c r="D870" s="14">
        <f t="shared" si="214"/>
        <v>0</v>
      </c>
      <c r="E870" s="14">
        <f t="shared" si="214"/>
        <v>0</v>
      </c>
      <c r="F870" s="14">
        <f t="shared" si="214"/>
        <v>0</v>
      </c>
      <c r="G870" s="14">
        <f t="shared" si="214"/>
        <v>0</v>
      </c>
      <c r="H870" s="14">
        <f t="shared" si="214"/>
        <v>0</v>
      </c>
      <c r="I870" s="14">
        <f t="shared" si="214"/>
        <v>0</v>
      </c>
      <c r="J870" s="14">
        <f t="shared" si="214"/>
        <v>0</v>
      </c>
      <c r="L870" s="19"/>
    </row>
    <row r="871" spans="1:12" x14ac:dyDescent="0.25">
      <c r="A871" s="5" t="s">
        <v>24</v>
      </c>
      <c r="B871" s="14">
        <f t="shared" ref="B871:J871" si="215">B867+B870</f>
        <v>150.26999999999998</v>
      </c>
      <c r="C871" s="14">
        <f t="shared" si="215"/>
        <v>0</v>
      </c>
      <c r="D871" s="14">
        <f t="shared" si="215"/>
        <v>116071.3</v>
      </c>
      <c r="E871" s="14">
        <f t="shared" si="215"/>
        <v>215.16</v>
      </c>
      <c r="F871" s="14">
        <f t="shared" si="215"/>
        <v>0</v>
      </c>
      <c r="G871" s="14">
        <f t="shared" si="215"/>
        <v>10806.48</v>
      </c>
      <c r="H871" s="14">
        <f t="shared" si="215"/>
        <v>0</v>
      </c>
      <c r="I871" s="14">
        <f t="shared" si="215"/>
        <v>0</v>
      </c>
      <c r="J871" s="14">
        <f t="shared" si="215"/>
        <v>127243.21</v>
      </c>
      <c r="L871" s="19"/>
    </row>
    <row r="872" spans="1:12" x14ac:dyDescent="0.25">
      <c r="A872" s="10" t="s">
        <v>84</v>
      </c>
      <c r="B872" s="14"/>
      <c r="C872" s="14"/>
      <c r="D872" s="14"/>
      <c r="E872" s="14"/>
      <c r="F872" s="14"/>
      <c r="G872" s="14"/>
      <c r="H872" s="14"/>
      <c r="I872" s="14"/>
      <c r="J872" s="14"/>
      <c r="L872" s="19"/>
    </row>
    <row r="873" spans="1:12" x14ac:dyDescent="0.25">
      <c r="A873" s="9" t="s">
        <v>11</v>
      </c>
      <c r="B873" s="14"/>
      <c r="C873" s="14"/>
      <c r="D873" s="14">
        <f>79363.56+6440.14+6440.14</f>
        <v>92243.839999999997</v>
      </c>
      <c r="E873" s="14"/>
      <c r="F873" s="14"/>
      <c r="G873" s="14"/>
      <c r="H873" s="14"/>
      <c r="I873" s="14"/>
      <c r="J873" s="14">
        <f t="shared" ref="J873:J885" si="216">SUM(B873:I873)</f>
        <v>92243.839999999997</v>
      </c>
      <c r="L873" s="19"/>
    </row>
    <row r="874" spans="1:12" x14ac:dyDescent="0.25">
      <c r="A874" s="9" t="s">
        <v>12</v>
      </c>
      <c r="B874" s="14"/>
      <c r="C874" s="14"/>
      <c r="D874" s="14"/>
      <c r="E874" s="14">
        <v>215.16</v>
      </c>
      <c r="F874" s="14"/>
      <c r="G874" s="14">
        <f>142.74+1154.4+999+771</f>
        <v>3067.1400000000003</v>
      </c>
      <c r="H874" s="14"/>
      <c r="I874" s="14"/>
      <c r="J874" s="14">
        <f t="shared" si="216"/>
        <v>3282.3</v>
      </c>
      <c r="L874" s="19"/>
    </row>
    <row r="875" spans="1:12" x14ac:dyDescent="0.25">
      <c r="A875" s="9" t="s">
        <v>13</v>
      </c>
      <c r="B875" s="14"/>
      <c r="C875" s="14"/>
      <c r="D875" s="14"/>
      <c r="E875" s="14"/>
      <c r="F875" s="14"/>
      <c r="G875" s="14"/>
      <c r="H875" s="14"/>
      <c r="I875" s="14"/>
      <c r="J875" s="14">
        <f t="shared" si="216"/>
        <v>0</v>
      </c>
      <c r="L875" s="19"/>
    </row>
    <row r="876" spans="1:12" x14ac:dyDescent="0.25">
      <c r="A876" s="9" t="s">
        <v>14</v>
      </c>
      <c r="B876" s="14"/>
      <c r="C876" s="14"/>
      <c r="D876" s="14"/>
      <c r="E876" s="14"/>
      <c r="F876" s="14"/>
      <c r="G876" s="14"/>
      <c r="H876" s="14"/>
      <c r="I876" s="14"/>
      <c r="J876" s="14">
        <f t="shared" si="216"/>
        <v>0</v>
      </c>
      <c r="L876" s="19"/>
    </row>
    <row r="877" spans="1:12" x14ac:dyDescent="0.25">
      <c r="A877" s="9" t="s">
        <v>15</v>
      </c>
      <c r="B877" s="14"/>
      <c r="C877" s="14"/>
      <c r="D877" s="14">
        <v>1925.92</v>
      </c>
      <c r="E877" s="14"/>
      <c r="F877" s="14"/>
      <c r="G877" s="14"/>
      <c r="H877" s="14"/>
      <c r="I877" s="14"/>
      <c r="J877" s="14">
        <f t="shared" si="216"/>
        <v>1925.92</v>
      </c>
      <c r="L877" s="19"/>
    </row>
    <row r="878" spans="1:12" x14ac:dyDescent="0.25">
      <c r="A878" s="9" t="s">
        <v>16</v>
      </c>
      <c r="B878" s="14"/>
      <c r="C878" s="14"/>
      <c r="D878" s="14"/>
      <c r="E878" s="14"/>
      <c r="F878" s="14"/>
      <c r="G878" s="14"/>
      <c r="H878" s="14"/>
      <c r="I878" s="14"/>
      <c r="J878" s="14">
        <f t="shared" si="216"/>
        <v>0</v>
      </c>
      <c r="L878" s="19"/>
    </row>
    <row r="879" spans="1:12" x14ac:dyDescent="0.25">
      <c r="A879" s="9" t="s">
        <v>17</v>
      </c>
      <c r="B879" s="14"/>
      <c r="C879" s="14"/>
      <c r="D879" s="14"/>
      <c r="E879" s="14"/>
      <c r="F879" s="14"/>
      <c r="G879" s="14"/>
      <c r="H879" s="14"/>
      <c r="I879" s="14"/>
      <c r="J879" s="14">
        <f t="shared" si="216"/>
        <v>0</v>
      </c>
      <c r="L879" s="19"/>
    </row>
    <row r="880" spans="1:12" x14ac:dyDescent="0.25">
      <c r="A880" s="9" t="s">
        <v>18</v>
      </c>
      <c r="B880" s="14">
        <f>583.3+97.16</f>
        <v>680.45999999999992</v>
      </c>
      <c r="C880" s="14"/>
      <c r="D880" s="14"/>
      <c r="E880" s="14"/>
      <c r="F880" s="14"/>
      <c r="G880" s="14"/>
      <c r="H880" s="14"/>
      <c r="I880" s="14"/>
      <c r="J880" s="14">
        <f t="shared" si="216"/>
        <v>680.45999999999992</v>
      </c>
      <c r="L880" s="19"/>
    </row>
    <row r="881" spans="1:12" x14ac:dyDescent="0.25">
      <c r="A881" s="9" t="s">
        <v>19</v>
      </c>
      <c r="B881" s="14"/>
      <c r="C881" s="14"/>
      <c r="D881" s="14"/>
      <c r="E881" s="14"/>
      <c r="F881" s="14"/>
      <c r="G881" s="14"/>
      <c r="H881" s="14"/>
      <c r="I881" s="14"/>
      <c r="J881" s="14">
        <f t="shared" si="216"/>
        <v>0</v>
      </c>
      <c r="L881" s="19"/>
    </row>
    <row r="882" spans="1:12" x14ac:dyDescent="0.25">
      <c r="A882" s="9" t="s">
        <v>20</v>
      </c>
      <c r="B882" s="14"/>
      <c r="C882" s="14"/>
      <c r="D882" s="14"/>
      <c r="E882" s="14"/>
      <c r="F882" s="14"/>
      <c r="G882" s="14">
        <v>3999.96</v>
      </c>
      <c r="H882" s="14"/>
      <c r="I882" s="14"/>
      <c r="J882" s="14">
        <f t="shared" si="216"/>
        <v>3999.96</v>
      </c>
      <c r="L882" s="19"/>
    </row>
    <row r="883" spans="1:12" x14ac:dyDescent="0.25">
      <c r="A883" s="5" t="s">
        <v>21</v>
      </c>
      <c r="B883" s="14">
        <f t="shared" ref="B883:I883" si="217">SUM(B873:B882)</f>
        <v>680.45999999999992</v>
      </c>
      <c r="C883" s="14">
        <f t="shared" si="217"/>
        <v>0</v>
      </c>
      <c r="D883" s="14">
        <f t="shared" si="217"/>
        <v>94169.76</v>
      </c>
      <c r="E883" s="14">
        <f t="shared" si="217"/>
        <v>215.16</v>
      </c>
      <c r="F883" s="14">
        <f t="shared" si="217"/>
        <v>0</v>
      </c>
      <c r="G883" s="14">
        <f t="shared" si="217"/>
        <v>7067.1</v>
      </c>
      <c r="H883" s="14">
        <f t="shared" si="217"/>
        <v>0</v>
      </c>
      <c r="I883" s="14">
        <f t="shared" si="217"/>
        <v>0</v>
      </c>
      <c r="J883" s="14">
        <f t="shared" si="216"/>
        <v>102132.48000000001</v>
      </c>
      <c r="L883" s="19"/>
    </row>
    <row r="884" spans="1:12" x14ac:dyDescent="0.25">
      <c r="A884" s="9" t="s">
        <v>22</v>
      </c>
      <c r="B884" s="14"/>
      <c r="C884" s="14"/>
      <c r="D884" s="14"/>
      <c r="E884" s="14"/>
      <c r="F884" s="14"/>
      <c r="G884" s="14"/>
      <c r="H884" s="14"/>
      <c r="I884" s="14"/>
      <c r="J884" s="14">
        <f t="shared" si="216"/>
        <v>0</v>
      </c>
      <c r="L884" s="19"/>
    </row>
    <row r="885" spans="1:12" x14ac:dyDescent="0.25">
      <c r="A885" s="9" t="s">
        <v>23</v>
      </c>
      <c r="B885" s="14"/>
      <c r="C885" s="14"/>
      <c r="D885" s="14"/>
      <c r="E885" s="14"/>
      <c r="F885" s="14"/>
      <c r="G885" s="14"/>
      <c r="H885" s="14"/>
      <c r="I885" s="14"/>
      <c r="J885" s="14">
        <f t="shared" si="216"/>
        <v>0</v>
      </c>
      <c r="L885" s="19"/>
    </row>
    <row r="886" spans="1:12" x14ac:dyDescent="0.25">
      <c r="A886" s="5" t="s">
        <v>42</v>
      </c>
      <c r="B886" s="14">
        <f t="shared" ref="B886:J886" si="218">SUM(B884:B885)</f>
        <v>0</v>
      </c>
      <c r="C886" s="14">
        <f t="shared" si="218"/>
        <v>0</v>
      </c>
      <c r="D886" s="14">
        <f t="shared" si="218"/>
        <v>0</v>
      </c>
      <c r="E886" s="14">
        <f t="shared" si="218"/>
        <v>0</v>
      </c>
      <c r="F886" s="14">
        <f t="shared" si="218"/>
        <v>0</v>
      </c>
      <c r="G886" s="14">
        <f t="shared" si="218"/>
        <v>0</v>
      </c>
      <c r="H886" s="14">
        <f t="shared" si="218"/>
        <v>0</v>
      </c>
      <c r="I886" s="14">
        <f t="shared" si="218"/>
        <v>0</v>
      </c>
      <c r="J886" s="14">
        <f t="shared" si="218"/>
        <v>0</v>
      </c>
      <c r="L886" s="19"/>
    </row>
    <row r="887" spans="1:12" x14ac:dyDescent="0.25">
      <c r="A887" s="5" t="s">
        <v>24</v>
      </c>
      <c r="B887" s="14">
        <f t="shared" ref="B887:J887" si="219">B883+B886</f>
        <v>680.45999999999992</v>
      </c>
      <c r="C887" s="14">
        <f t="shared" si="219"/>
        <v>0</v>
      </c>
      <c r="D887" s="14">
        <f t="shared" si="219"/>
        <v>94169.76</v>
      </c>
      <c r="E887" s="14">
        <f t="shared" si="219"/>
        <v>215.16</v>
      </c>
      <c r="F887" s="14">
        <f t="shared" si="219"/>
        <v>0</v>
      </c>
      <c r="G887" s="14">
        <f t="shared" si="219"/>
        <v>7067.1</v>
      </c>
      <c r="H887" s="14">
        <f t="shared" si="219"/>
        <v>0</v>
      </c>
      <c r="I887" s="14">
        <f t="shared" si="219"/>
        <v>0</v>
      </c>
      <c r="J887" s="14">
        <f t="shared" si="219"/>
        <v>102132.48000000001</v>
      </c>
      <c r="L887" s="19"/>
    </row>
    <row r="888" spans="1:12" x14ac:dyDescent="0.25">
      <c r="A888" s="10" t="s">
        <v>85</v>
      </c>
      <c r="B888" s="14"/>
      <c r="C888" s="14"/>
      <c r="D888" s="14"/>
      <c r="E888" s="14"/>
      <c r="F888" s="14"/>
      <c r="G888" s="14"/>
      <c r="H888" s="14"/>
      <c r="I888" s="14"/>
      <c r="J888" s="14"/>
      <c r="L888" s="19"/>
    </row>
    <row r="889" spans="1:12" x14ac:dyDescent="0.25">
      <c r="A889" s="9" t="s">
        <v>11</v>
      </c>
      <c r="B889" s="14"/>
      <c r="C889" s="14"/>
      <c r="D889" s="14">
        <f>39471.05+5115.46+5115.46</f>
        <v>49701.97</v>
      </c>
      <c r="E889" s="14"/>
      <c r="F889" s="14"/>
      <c r="G889" s="14"/>
      <c r="H889" s="14"/>
      <c r="I889" s="14"/>
      <c r="J889" s="14">
        <f t="shared" ref="J889:J901" si="220">SUM(B889:I889)</f>
        <v>49701.97</v>
      </c>
      <c r="L889" s="19"/>
    </row>
    <row r="890" spans="1:12" x14ac:dyDescent="0.25">
      <c r="A890" s="9" t="s">
        <v>12</v>
      </c>
      <c r="B890" s="14"/>
      <c r="C890" s="14"/>
      <c r="D890" s="14"/>
      <c r="E890" s="14">
        <v>215.16</v>
      </c>
      <c r="F890" s="14"/>
      <c r="G890" s="14"/>
      <c r="H890" s="14"/>
      <c r="I890" s="14"/>
      <c r="J890" s="14">
        <f t="shared" si="220"/>
        <v>215.16</v>
      </c>
      <c r="L890" s="19"/>
    </row>
    <row r="891" spans="1:12" x14ac:dyDescent="0.25">
      <c r="A891" s="9" t="s">
        <v>13</v>
      </c>
      <c r="B891" s="14"/>
      <c r="C891" s="14"/>
      <c r="D891" s="14"/>
      <c r="E891" s="14"/>
      <c r="F891" s="14"/>
      <c r="G891" s="14"/>
      <c r="H891" s="14"/>
      <c r="I891" s="14"/>
      <c r="J891" s="14">
        <f t="shared" si="220"/>
        <v>0</v>
      </c>
      <c r="L891" s="19"/>
    </row>
    <row r="892" spans="1:12" x14ac:dyDescent="0.25">
      <c r="A892" s="9" t="s">
        <v>14</v>
      </c>
      <c r="B892" s="14"/>
      <c r="C892" s="14"/>
      <c r="D892" s="14">
        <f>138.77</f>
        <v>138.77000000000001</v>
      </c>
      <c r="E892" s="14"/>
      <c r="F892" s="14"/>
      <c r="G892" s="14"/>
      <c r="H892" s="14"/>
      <c r="I892" s="14"/>
      <c r="J892" s="14">
        <f t="shared" si="220"/>
        <v>138.77000000000001</v>
      </c>
      <c r="L892" s="19"/>
    </row>
    <row r="893" spans="1:12" x14ac:dyDescent="0.25">
      <c r="A893" s="9" t="s">
        <v>15</v>
      </c>
      <c r="B893" s="14"/>
      <c r="C893" s="14"/>
      <c r="D893" s="14"/>
      <c r="E893" s="14"/>
      <c r="F893" s="14"/>
      <c r="G893" s="14"/>
      <c r="H893" s="14"/>
      <c r="I893" s="14"/>
      <c r="J893" s="14">
        <f t="shared" si="220"/>
        <v>0</v>
      </c>
      <c r="L893" s="19"/>
    </row>
    <row r="894" spans="1:12" x14ac:dyDescent="0.25">
      <c r="A894" s="9" t="s">
        <v>16</v>
      </c>
      <c r="B894" s="14"/>
      <c r="C894" s="14"/>
      <c r="D894" s="14"/>
      <c r="E894" s="14"/>
      <c r="F894" s="14"/>
      <c r="G894" s="14"/>
      <c r="H894" s="14"/>
      <c r="I894" s="14"/>
      <c r="J894" s="14">
        <f t="shared" si="220"/>
        <v>0</v>
      </c>
      <c r="L894" s="19"/>
    </row>
    <row r="895" spans="1:12" x14ac:dyDescent="0.25">
      <c r="A895" s="9" t="s">
        <v>17</v>
      </c>
      <c r="B895" s="14"/>
      <c r="C895" s="14"/>
      <c r="D895" s="14"/>
      <c r="E895" s="14"/>
      <c r="F895" s="14"/>
      <c r="G895" s="14"/>
      <c r="H895" s="14"/>
      <c r="I895" s="14"/>
      <c r="J895" s="14">
        <f t="shared" si="220"/>
        <v>0</v>
      </c>
      <c r="L895" s="19"/>
    </row>
    <row r="896" spans="1:12" x14ac:dyDescent="0.25">
      <c r="A896" s="9" t="s">
        <v>18</v>
      </c>
      <c r="B896" s="14">
        <f>46.05+7.67</f>
        <v>53.72</v>
      </c>
      <c r="C896" s="14"/>
      <c r="D896" s="14"/>
      <c r="E896" s="14"/>
      <c r="F896" s="14"/>
      <c r="G896" s="14"/>
      <c r="H896" s="14"/>
      <c r="I896" s="14"/>
      <c r="J896" s="14">
        <f t="shared" si="220"/>
        <v>53.72</v>
      </c>
      <c r="L896" s="19"/>
    </row>
    <row r="897" spans="1:12" x14ac:dyDescent="0.25">
      <c r="A897" s="9" t="s">
        <v>19</v>
      </c>
      <c r="B897" s="14"/>
      <c r="C897" s="14"/>
      <c r="D897" s="14"/>
      <c r="E897" s="14"/>
      <c r="F897" s="14"/>
      <c r="G897" s="14"/>
      <c r="H897" s="14"/>
      <c r="I897" s="14"/>
      <c r="J897" s="14">
        <f t="shared" si="220"/>
        <v>0</v>
      </c>
      <c r="L897" s="19"/>
    </row>
    <row r="898" spans="1:12" x14ac:dyDescent="0.25">
      <c r="A898" s="9" t="s">
        <v>20</v>
      </c>
      <c r="B898" s="14"/>
      <c r="C898" s="14"/>
      <c r="D898" s="14"/>
      <c r="E898" s="14"/>
      <c r="F898" s="14"/>
      <c r="G898" s="14"/>
      <c r="H898" s="14"/>
      <c r="I898" s="14"/>
      <c r="J898" s="14">
        <f t="shared" si="220"/>
        <v>0</v>
      </c>
      <c r="L898" s="19"/>
    </row>
    <row r="899" spans="1:12" x14ac:dyDescent="0.25">
      <c r="A899" s="5" t="s">
        <v>21</v>
      </c>
      <c r="B899" s="14">
        <f t="shared" ref="B899:I899" si="221">SUM(B889:B898)</f>
        <v>53.72</v>
      </c>
      <c r="C899" s="14">
        <f t="shared" si="221"/>
        <v>0</v>
      </c>
      <c r="D899" s="14">
        <f t="shared" si="221"/>
        <v>49840.74</v>
      </c>
      <c r="E899" s="14">
        <f t="shared" si="221"/>
        <v>215.16</v>
      </c>
      <c r="F899" s="14">
        <f t="shared" si="221"/>
        <v>0</v>
      </c>
      <c r="G899" s="14">
        <f t="shared" si="221"/>
        <v>0</v>
      </c>
      <c r="H899" s="14">
        <f t="shared" si="221"/>
        <v>0</v>
      </c>
      <c r="I899" s="14">
        <f t="shared" si="221"/>
        <v>0</v>
      </c>
      <c r="J899" s="14">
        <f t="shared" si="220"/>
        <v>50109.62</v>
      </c>
      <c r="L899" s="19"/>
    </row>
    <row r="900" spans="1:12" x14ac:dyDescent="0.25">
      <c r="A900" s="9" t="s">
        <v>22</v>
      </c>
      <c r="B900" s="14"/>
      <c r="C900" s="14"/>
      <c r="D900" s="14"/>
      <c r="E900" s="14"/>
      <c r="F900" s="14"/>
      <c r="G900" s="14"/>
      <c r="H900" s="14"/>
      <c r="I900" s="14"/>
      <c r="J900" s="14">
        <f t="shared" si="220"/>
        <v>0</v>
      </c>
      <c r="L900" s="19"/>
    </row>
    <row r="901" spans="1:12" x14ac:dyDescent="0.25">
      <c r="A901" s="9" t="s">
        <v>23</v>
      </c>
      <c r="B901" s="14"/>
      <c r="C901" s="14"/>
      <c r="D901" s="14"/>
      <c r="E901" s="14"/>
      <c r="F901" s="14"/>
      <c r="G901" s="14"/>
      <c r="H901" s="14"/>
      <c r="I901" s="14"/>
      <c r="J901" s="14">
        <f t="shared" si="220"/>
        <v>0</v>
      </c>
      <c r="L901" s="19"/>
    </row>
    <row r="902" spans="1:12" x14ac:dyDescent="0.25">
      <c r="A902" s="5" t="s">
        <v>42</v>
      </c>
      <c r="B902" s="14">
        <f t="shared" ref="B902:J902" si="222">SUM(B900:B901)</f>
        <v>0</v>
      </c>
      <c r="C902" s="14">
        <f t="shared" si="222"/>
        <v>0</v>
      </c>
      <c r="D902" s="14">
        <f t="shared" si="222"/>
        <v>0</v>
      </c>
      <c r="E902" s="14">
        <f t="shared" si="222"/>
        <v>0</v>
      </c>
      <c r="F902" s="14">
        <f t="shared" si="222"/>
        <v>0</v>
      </c>
      <c r="G902" s="14">
        <f t="shared" si="222"/>
        <v>0</v>
      </c>
      <c r="H902" s="14">
        <f t="shared" si="222"/>
        <v>0</v>
      </c>
      <c r="I902" s="14">
        <f t="shared" si="222"/>
        <v>0</v>
      </c>
      <c r="J902" s="14">
        <f t="shared" si="222"/>
        <v>0</v>
      </c>
      <c r="L902" s="19"/>
    </row>
    <row r="903" spans="1:12" x14ac:dyDescent="0.25">
      <c r="A903" s="5" t="s">
        <v>24</v>
      </c>
      <c r="B903" s="14">
        <f t="shared" ref="B903:J903" si="223">B899+B902</f>
        <v>53.72</v>
      </c>
      <c r="C903" s="14">
        <f t="shared" si="223"/>
        <v>0</v>
      </c>
      <c r="D903" s="14">
        <f t="shared" si="223"/>
        <v>49840.74</v>
      </c>
      <c r="E903" s="14">
        <f t="shared" si="223"/>
        <v>215.16</v>
      </c>
      <c r="F903" s="14">
        <f t="shared" si="223"/>
        <v>0</v>
      </c>
      <c r="G903" s="14">
        <f t="shared" si="223"/>
        <v>0</v>
      </c>
      <c r="H903" s="14">
        <f t="shared" si="223"/>
        <v>0</v>
      </c>
      <c r="I903" s="14">
        <f t="shared" si="223"/>
        <v>0</v>
      </c>
      <c r="J903" s="14">
        <f t="shared" si="223"/>
        <v>50109.62</v>
      </c>
      <c r="L903" s="19"/>
    </row>
    <row r="904" spans="1:12" x14ac:dyDescent="0.25">
      <c r="A904" s="10" t="s">
        <v>86</v>
      </c>
      <c r="B904" s="14"/>
      <c r="C904" s="14"/>
      <c r="D904" s="14"/>
      <c r="E904" s="14"/>
      <c r="F904" s="14"/>
      <c r="G904" s="14"/>
      <c r="H904" s="14"/>
      <c r="I904" s="14"/>
      <c r="J904" s="14"/>
      <c r="L904" s="19"/>
    </row>
    <row r="905" spans="1:12" x14ac:dyDescent="0.25">
      <c r="A905" s="9" t="s">
        <v>11</v>
      </c>
      <c r="B905" s="14"/>
      <c r="C905" s="14"/>
      <c r="D905" s="14">
        <v>34141.4</v>
      </c>
      <c r="E905" s="14"/>
      <c r="F905" s="14"/>
      <c r="G905" s="14"/>
      <c r="H905" s="14"/>
      <c r="I905" s="14"/>
      <c r="J905" s="14">
        <f t="shared" ref="J905:J917" si="224">SUM(B905:I905)</f>
        <v>34141.4</v>
      </c>
      <c r="L905" s="19"/>
    </row>
    <row r="906" spans="1:12" x14ac:dyDescent="0.25">
      <c r="A906" s="9" t="s">
        <v>12</v>
      </c>
      <c r="B906" s="14"/>
      <c r="C906" s="14"/>
      <c r="D906" s="14"/>
      <c r="E906" s="14">
        <v>215.16</v>
      </c>
      <c r="F906" s="14"/>
      <c r="G906" s="14"/>
      <c r="H906" s="14"/>
      <c r="I906" s="14"/>
      <c r="J906" s="14">
        <f t="shared" si="224"/>
        <v>215.16</v>
      </c>
      <c r="L906" s="19"/>
    </row>
    <row r="907" spans="1:12" x14ac:dyDescent="0.25">
      <c r="A907" s="9" t="s">
        <v>13</v>
      </c>
      <c r="B907" s="14"/>
      <c r="C907" s="14"/>
      <c r="D907" s="14"/>
      <c r="E907" s="14"/>
      <c r="F907" s="14"/>
      <c r="G907" s="14"/>
      <c r="H907" s="14"/>
      <c r="I907" s="14"/>
      <c r="J907" s="14">
        <f t="shared" si="224"/>
        <v>0</v>
      </c>
      <c r="L907" s="19"/>
    </row>
    <row r="908" spans="1:12" x14ac:dyDescent="0.25">
      <c r="A908" s="9" t="s">
        <v>14</v>
      </c>
      <c r="B908" s="14"/>
      <c r="C908" s="14"/>
      <c r="D908" s="14"/>
      <c r="E908" s="14"/>
      <c r="F908" s="14"/>
      <c r="G908" s="14"/>
      <c r="H908" s="14"/>
      <c r="I908" s="14"/>
      <c r="J908" s="14">
        <f t="shared" si="224"/>
        <v>0</v>
      </c>
      <c r="L908" s="19"/>
    </row>
    <row r="909" spans="1:12" x14ac:dyDescent="0.25">
      <c r="A909" s="9" t="s">
        <v>15</v>
      </c>
      <c r="B909" s="14"/>
      <c r="C909" s="14"/>
      <c r="D909" s="14"/>
      <c r="E909" s="14"/>
      <c r="F909" s="14"/>
      <c r="G909" s="14"/>
      <c r="H909" s="14"/>
      <c r="I909" s="14"/>
      <c r="J909" s="14">
        <f t="shared" si="224"/>
        <v>0</v>
      </c>
      <c r="L909" s="19"/>
    </row>
    <row r="910" spans="1:12" x14ac:dyDescent="0.25">
      <c r="A910" s="9" t="s">
        <v>16</v>
      </c>
      <c r="B910" s="14"/>
      <c r="C910" s="14"/>
      <c r="D910" s="14"/>
      <c r="E910" s="14"/>
      <c r="F910" s="14"/>
      <c r="G910" s="14"/>
      <c r="H910" s="14"/>
      <c r="I910" s="14"/>
      <c r="J910" s="14">
        <f t="shared" si="224"/>
        <v>0</v>
      </c>
      <c r="L910" s="19"/>
    </row>
    <row r="911" spans="1:12" x14ac:dyDescent="0.25">
      <c r="A911" s="9" t="s">
        <v>17</v>
      </c>
      <c r="B911" s="14"/>
      <c r="C911" s="14"/>
      <c r="D911" s="14"/>
      <c r="E911" s="14"/>
      <c r="F911" s="14"/>
      <c r="G911" s="14"/>
      <c r="H911" s="14"/>
      <c r="I911" s="14"/>
      <c r="J911" s="14">
        <f t="shared" si="224"/>
        <v>0</v>
      </c>
      <c r="L911" s="19"/>
    </row>
    <row r="912" spans="1:12" x14ac:dyDescent="0.25">
      <c r="A912" s="9" t="s">
        <v>18</v>
      </c>
      <c r="B912" s="14">
        <f>12.28+2.04</f>
        <v>14.32</v>
      </c>
      <c r="C912" s="14"/>
      <c r="D912" s="14"/>
      <c r="E912" s="14"/>
      <c r="F912" s="14"/>
      <c r="G912" s="14"/>
      <c r="H912" s="14"/>
      <c r="I912" s="14"/>
      <c r="J912" s="14">
        <f t="shared" si="224"/>
        <v>14.32</v>
      </c>
      <c r="L912" s="19"/>
    </row>
    <row r="913" spans="1:12" x14ac:dyDescent="0.25">
      <c r="A913" s="9" t="s">
        <v>19</v>
      </c>
      <c r="B913" s="14"/>
      <c r="C913" s="14"/>
      <c r="D913" s="14"/>
      <c r="E913" s="14"/>
      <c r="F913" s="14"/>
      <c r="G913" s="14"/>
      <c r="H913" s="14"/>
      <c r="I913" s="14"/>
      <c r="J913" s="14">
        <f t="shared" si="224"/>
        <v>0</v>
      </c>
      <c r="L913" s="19"/>
    </row>
    <row r="914" spans="1:12" x14ac:dyDescent="0.25">
      <c r="A914" s="9" t="s">
        <v>20</v>
      </c>
      <c r="B914" s="14"/>
      <c r="C914" s="14"/>
      <c r="D914" s="14"/>
      <c r="E914" s="14"/>
      <c r="F914" s="14"/>
      <c r="G914" s="14"/>
      <c r="H914" s="14"/>
      <c r="I914" s="14"/>
      <c r="J914" s="14">
        <f t="shared" si="224"/>
        <v>0</v>
      </c>
      <c r="L914" s="19"/>
    </row>
    <row r="915" spans="1:12" x14ac:dyDescent="0.25">
      <c r="A915" s="5" t="s">
        <v>21</v>
      </c>
      <c r="B915" s="14">
        <f t="shared" ref="B915:I915" si="225">SUM(B905:B914)</f>
        <v>14.32</v>
      </c>
      <c r="C915" s="14">
        <f t="shared" si="225"/>
        <v>0</v>
      </c>
      <c r="D915" s="14">
        <f t="shared" si="225"/>
        <v>34141.4</v>
      </c>
      <c r="E915" s="14">
        <f t="shared" si="225"/>
        <v>215.16</v>
      </c>
      <c r="F915" s="14">
        <f t="shared" si="225"/>
        <v>0</v>
      </c>
      <c r="G915" s="14">
        <f t="shared" si="225"/>
        <v>0</v>
      </c>
      <c r="H915" s="14">
        <f t="shared" si="225"/>
        <v>0</v>
      </c>
      <c r="I915" s="14">
        <f t="shared" si="225"/>
        <v>0</v>
      </c>
      <c r="J915" s="14">
        <f t="shared" si="224"/>
        <v>34370.880000000005</v>
      </c>
      <c r="L915" s="19"/>
    </row>
    <row r="916" spans="1:12" x14ac:dyDescent="0.25">
      <c r="A916" s="9" t="s">
        <v>22</v>
      </c>
      <c r="B916" s="14"/>
      <c r="C916" s="14"/>
      <c r="D916" s="14"/>
      <c r="E916" s="14"/>
      <c r="F916" s="14"/>
      <c r="G916" s="14"/>
      <c r="H916" s="14"/>
      <c r="I916" s="14"/>
      <c r="J916" s="14">
        <f t="shared" si="224"/>
        <v>0</v>
      </c>
      <c r="L916" s="19"/>
    </row>
    <row r="917" spans="1:12" x14ac:dyDescent="0.25">
      <c r="A917" s="9" t="s">
        <v>23</v>
      </c>
      <c r="B917" s="14"/>
      <c r="C917" s="14"/>
      <c r="D917" s="14"/>
      <c r="E917" s="14"/>
      <c r="F917" s="14"/>
      <c r="G917" s="14"/>
      <c r="H917" s="14"/>
      <c r="I917" s="14"/>
      <c r="J917" s="14">
        <f t="shared" si="224"/>
        <v>0</v>
      </c>
      <c r="L917" s="19"/>
    </row>
    <row r="918" spans="1:12" x14ac:dyDescent="0.25">
      <c r="A918" s="5" t="s">
        <v>42</v>
      </c>
      <c r="B918" s="14">
        <f t="shared" ref="B918:J918" si="226">SUM(B916:B917)</f>
        <v>0</v>
      </c>
      <c r="C918" s="14">
        <f t="shared" si="226"/>
        <v>0</v>
      </c>
      <c r="D918" s="14">
        <f t="shared" si="226"/>
        <v>0</v>
      </c>
      <c r="E918" s="14">
        <f t="shared" si="226"/>
        <v>0</v>
      </c>
      <c r="F918" s="14">
        <f t="shared" si="226"/>
        <v>0</v>
      </c>
      <c r="G918" s="14">
        <f t="shared" si="226"/>
        <v>0</v>
      </c>
      <c r="H918" s="14">
        <f t="shared" si="226"/>
        <v>0</v>
      </c>
      <c r="I918" s="14">
        <f t="shared" si="226"/>
        <v>0</v>
      </c>
      <c r="J918" s="14">
        <f t="shared" si="226"/>
        <v>0</v>
      </c>
      <c r="L918" s="19"/>
    </row>
    <row r="919" spans="1:12" x14ac:dyDescent="0.25">
      <c r="A919" s="5" t="s">
        <v>24</v>
      </c>
      <c r="B919" s="14">
        <f t="shared" ref="B919:J919" si="227">B915+B918</f>
        <v>14.32</v>
      </c>
      <c r="C919" s="14">
        <f t="shared" si="227"/>
        <v>0</v>
      </c>
      <c r="D919" s="14">
        <f t="shared" si="227"/>
        <v>34141.4</v>
      </c>
      <c r="E919" s="14">
        <f t="shared" si="227"/>
        <v>215.16</v>
      </c>
      <c r="F919" s="14">
        <f t="shared" si="227"/>
        <v>0</v>
      </c>
      <c r="G919" s="14">
        <f t="shared" si="227"/>
        <v>0</v>
      </c>
      <c r="H919" s="14">
        <f t="shared" si="227"/>
        <v>0</v>
      </c>
      <c r="I919" s="14">
        <f t="shared" si="227"/>
        <v>0</v>
      </c>
      <c r="J919" s="14">
        <f t="shared" si="227"/>
        <v>34370.880000000005</v>
      </c>
      <c r="L919" s="19"/>
    </row>
    <row r="920" spans="1:12" x14ac:dyDescent="0.25">
      <c r="A920" s="10" t="s">
        <v>87</v>
      </c>
      <c r="B920" s="14"/>
      <c r="C920" s="14"/>
      <c r="D920" s="14"/>
      <c r="E920" s="14"/>
      <c r="F920" s="14"/>
      <c r="G920" s="14"/>
      <c r="H920" s="14"/>
      <c r="I920" s="14"/>
      <c r="J920" s="14"/>
      <c r="L920" s="19"/>
    </row>
    <row r="921" spans="1:12" x14ac:dyDescent="0.25">
      <c r="A921" s="9" t="s">
        <v>11</v>
      </c>
      <c r="B921" s="14"/>
      <c r="C921" s="14"/>
      <c r="D921" s="14">
        <f>65799.21+6773.92+6773.92</f>
        <v>79347.05</v>
      </c>
      <c r="E921" s="14"/>
      <c r="F921" s="14"/>
      <c r="G921" s="14"/>
      <c r="H921" s="14"/>
      <c r="I921" s="14"/>
      <c r="J921" s="14">
        <f t="shared" ref="J921:J933" si="228">SUM(B921:I921)</f>
        <v>79347.05</v>
      </c>
      <c r="L921" s="19"/>
    </row>
    <row r="922" spans="1:12" x14ac:dyDescent="0.25">
      <c r="A922" s="9" t="s">
        <v>12</v>
      </c>
      <c r="B922" s="14"/>
      <c r="C922" s="14"/>
      <c r="D922" s="14"/>
      <c r="E922" s="14">
        <f>20000+215.16</f>
        <v>20215.16</v>
      </c>
      <c r="F922" s="14"/>
      <c r="G922" s="14"/>
      <c r="H922" s="14"/>
      <c r="I922" s="14"/>
      <c r="J922" s="14">
        <f t="shared" si="228"/>
        <v>20215.16</v>
      </c>
      <c r="L922" s="19"/>
    </row>
    <row r="923" spans="1:12" x14ac:dyDescent="0.25">
      <c r="A923" s="9" t="s">
        <v>13</v>
      </c>
      <c r="B923" s="14"/>
      <c r="C923" s="14"/>
      <c r="D923" s="14"/>
      <c r="E923" s="14"/>
      <c r="F923" s="14"/>
      <c r="G923" s="14"/>
      <c r="H923" s="14"/>
      <c r="I923" s="14"/>
      <c r="J923" s="14">
        <f t="shared" si="228"/>
        <v>0</v>
      </c>
      <c r="L923" s="19"/>
    </row>
    <row r="924" spans="1:12" x14ac:dyDescent="0.25">
      <c r="A924" s="9" t="s">
        <v>14</v>
      </c>
      <c r="B924" s="14"/>
      <c r="C924" s="14"/>
      <c r="D924" s="14"/>
      <c r="E924" s="14"/>
      <c r="F924" s="14"/>
      <c r="G924" s="14"/>
      <c r="H924" s="14"/>
      <c r="I924" s="14"/>
      <c r="J924" s="14">
        <f t="shared" si="228"/>
        <v>0</v>
      </c>
      <c r="L924" s="19"/>
    </row>
    <row r="925" spans="1:12" x14ac:dyDescent="0.25">
      <c r="A925" s="9" t="s">
        <v>15</v>
      </c>
      <c r="B925" s="14"/>
      <c r="C925" s="14"/>
      <c r="D925" s="14"/>
      <c r="E925" s="14"/>
      <c r="F925" s="14"/>
      <c r="G925" s="14"/>
      <c r="H925" s="14"/>
      <c r="I925" s="14"/>
      <c r="J925" s="14">
        <f t="shared" si="228"/>
        <v>0</v>
      </c>
      <c r="L925" s="19"/>
    </row>
    <row r="926" spans="1:12" x14ac:dyDescent="0.25">
      <c r="A926" s="9" t="s">
        <v>16</v>
      </c>
      <c r="B926" s="14"/>
      <c r="C926" s="14"/>
      <c r="D926" s="14"/>
      <c r="E926" s="14"/>
      <c r="F926" s="14"/>
      <c r="G926" s="14"/>
      <c r="H926" s="14"/>
      <c r="I926" s="14"/>
      <c r="J926" s="14">
        <f t="shared" si="228"/>
        <v>0</v>
      </c>
      <c r="L926" s="19"/>
    </row>
    <row r="927" spans="1:12" x14ac:dyDescent="0.25">
      <c r="A927" s="9" t="s">
        <v>17</v>
      </c>
      <c r="B927" s="14"/>
      <c r="C927" s="14"/>
      <c r="D927" s="14"/>
      <c r="E927" s="14"/>
      <c r="F927" s="14"/>
      <c r="G927" s="14"/>
      <c r="H927" s="14"/>
      <c r="I927" s="14"/>
      <c r="J927" s="14">
        <f t="shared" si="228"/>
        <v>0</v>
      </c>
      <c r="L927" s="19"/>
    </row>
    <row r="928" spans="1:12" x14ac:dyDescent="0.25">
      <c r="A928" s="9" t="s">
        <v>18</v>
      </c>
      <c r="B928" s="14">
        <f>414.45+69.07</f>
        <v>483.52</v>
      </c>
      <c r="C928" s="14"/>
      <c r="D928" s="14"/>
      <c r="E928" s="14"/>
      <c r="F928" s="14"/>
      <c r="G928" s="14"/>
      <c r="H928" s="14"/>
      <c r="I928" s="14"/>
      <c r="J928" s="14">
        <f t="shared" si="228"/>
        <v>483.52</v>
      </c>
      <c r="L928" s="19"/>
    </row>
    <row r="929" spans="1:12" x14ac:dyDescent="0.25">
      <c r="A929" s="9" t="s">
        <v>19</v>
      </c>
      <c r="B929" s="14"/>
      <c r="C929" s="14"/>
      <c r="D929" s="14"/>
      <c r="E929" s="14"/>
      <c r="F929" s="14"/>
      <c r="G929" s="14"/>
      <c r="H929" s="14"/>
      <c r="I929" s="14"/>
      <c r="J929" s="14">
        <f t="shared" si="228"/>
        <v>0</v>
      </c>
      <c r="L929" s="19"/>
    </row>
    <row r="930" spans="1:12" x14ac:dyDescent="0.25">
      <c r="A930" s="9" t="s">
        <v>20</v>
      </c>
      <c r="B930" s="14"/>
      <c r="C930" s="14"/>
      <c r="D930" s="14"/>
      <c r="E930" s="14"/>
      <c r="F930" s="14"/>
      <c r="G930" s="14"/>
      <c r="H930" s="14"/>
      <c r="I930" s="14"/>
      <c r="J930" s="14">
        <f t="shared" si="228"/>
        <v>0</v>
      </c>
      <c r="L930" s="19"/>
    </row>
    <row r="931" spans="1:12" x14ac:dyDescent="0.25">
      <c r="A931" s="5" t="s">
        <v>21</v>
      </c>
      <c r="B931" s="14">
        <f t="shared" ref="B931:I931" si="229">SUM(B921:B930)</f>
        <v>483.52</v>
      </c>
      <c r="C931" s="14">
        <f t="shared" si="229"/>
        <v>0</v>
      </c>
      <c r="D931" s="14">
        <f t="shared" si="229"/>
        <v>79347.05</v>
      </c>
      <c r="E931" s="14">
        <f t="shared" si="229"/>
        <v>20215.16</v>
      </c>
      <c r="F931" s="14">
        <f t="shared" si="229"/>
        <v>0</v>
      </c>
      <c r="G931" s="14">
        <f t="shared" si="229"/>
        <v>0</v>
      </c>
      <c r="H931" s="14">
        <f t="shared" si="229"/>
        <v>0</v>
      </c>
      <c r="I931" s="14">
        <f t="shared" si="229"/>
        <v>0</v>
      </c>
      <c r="J931" s="14">
        <f t="shared" si="228"/>
        <v>100045.73000000001</v>
      </c>
      <c r="L931" s="19"/>
    </row>
    <row r="932" spans="1:12" x14ac:dyDescent="0.25">
      <c r="A932" s="9" t="s">
        <v>22</v>
      </c>
      <c r="B932" s="14"/>
      <c r="C932" s="14"/>
      <c r="D932" s="14"/>
      <c r="E932" s="14"/>
      <c r="F932" s="14"/>
      <c r="G932" s="14"/>
      <c r="H932" s="14"/>
      <c r="I932" s="14"/>
      <c r="J932" s="14">
        <f t="shared" si="228"/>
        <v>0</v>
      </c>
      <c r="L932" s="19"/>
    </row>
    <row r="933" spans="1:12" x14ac:dyDescent="0.25">
      <c r="A933" s="9" t="s">
        <v>23</v>
      </c>
      <c r="B933" s="14"/>
      <c r="C933" s="14"/>
      <c r="D933" s="14"/>
      <c r="E933" s="14"/>
      <c r="F933" s="14"/>
      <c r="G933" s="14"/>
      <c r="H933" s="14"/>
      <c r="I933" s="14"/>
      <c r="J933" s="14">
        <f t="shared" si="228"/>
        <v>0</v>
      </c>
      <c r="L933" s="19"/>
    </row>
    <row r="934" spans="1:12" x14ac:dyDescent="0.25">
      <c r="A934" s="5" t="s">
        <v>42</v>
      </c>
      <c r="B934" s="14">
        <f t="shared" ref="B934:J934" si="230">SUM(B932:B933)</f>
        <v>0</v>
      </c>
      <c r="C934" s="14">
        <f t="shared" si="230"/>
        <v>0</v>
      </c>
      <c r="D934" s="14">
        <f t="shared" si="230"/>
        <v>0</v>
      </c>
      <c r="E934" s="14">
        <f t="shared" si="230"/>
        <v>0</v>
      </c>
      <c r="F934" s="14">
        <f t="shared" si="230"/>
        <v>0</v>
      </c>
      <c r="G934" s="14">
        <f t="shared" si="230"/>
        <v>0</v>
      </c>
      <c r="H934" s="14">
        <f t="shared" si="230"/>
        <v>0</v>
      </c>
      <c r="I934" s="14">
        <f t="shared" si="230"/>
        <v>0</v>
      </c>
      <c r="J934" s="14">
        <f t="shared" si="230"/>
        <v>0</v>
      </c>
      <c r="L934" s="19"/>
    </row>
    <row r="935" spans="1:12" x14ac:dyDescent="0.25">
      <c r="A935" s="5" t="s">
        <v>24</v>
      </c>
      <c r="B935" s="14">
        <f t="shared" ref="B935:J935" si="231">B931+B934</f>
        <v>483.52</v>
      </c>
      <c r="C935" s="14">
        <f t="shared" si="231"/>
        <v>0</v>
      </c>
      <c r="D935" s="14">
        <f t="shared" si="231"/>
        <v>79347.05</v>
      </c>
      <c r="E935" s="14">
        <f t="shared" si="231"/>
        <v>20215.16</v>
      </c>
      <c r="F935" s="14">
        <f t="shared" si="231"/>
        <v>0</v>
      </c>
      <c r="G935" s="14">
        <f t="shared" si="231"/>
        <v>0</v>
      </c>
      <c r="H935" s="14">
        <f t="shared" si="231"/>
        <v>0</v>
      </c>
      <c r="I935" s="14">
        <f t="shared" si="231"/>
        <v>0</v>
      </c>
      <c r="J935" s="14">
        <f t="shared" si="231"/>
        <v>100045.73000000001</v>
      </c>
      <c r="L935" s="19"/>
    </row>
    <row r="936" spans="1:12" x14ac:dyDescent="0.25">
      <c r="A936" s="10" t="s">
        <v>88</v>
      </c>
      <c r="B936" s="14"/>
      <c r="C936" s="14"/>
      <c r="D936" s="14"/>
      <c r="E936" s="14"/>
      <c r="F936" s="14"/>
      <c r="G936" s="14"/>
      <c r="H936" s="14"/>
      <c r="I936" s="14"/>
      <c r="J936" s="14"/>
      <c r="L936" s="19"/>
    </row>
    <row r="937" spans="1:12" x14ac:dyDescent="0.25">
      <c r="A937" s="9" t="s">
        <v>11</v>
      </c>
      <c r="B937" s="14"/>
      <c r="C937" s="14"/>
      <c r="D937" s="14">
        <v>35830.28</v>
      </c>
      <c r="E937" s="14"/>
      <c r="F937" s="14"/>
      <c r="G937" s="14"/>
      <c r="H937" s="14"/>
      <c r="I937" s="14"/>
      <c r="J937" s="14">
        <f t="shared" ref="J937:J949" si="232">SUM(B937:I937)</f>
        <v>35830.28</v>
      </c>
      <c r="L937" s="19"/>
    </row>
    <row r="938" spans="1:12" x14ac:dyDescent="0.25">
      <c r="A938" s="9" t="s">
        <v>12</v>
      </c>
      <c r="B938" s="14"/>
      <c r="C938" s="14"/>
      <c r="D938" s="14"/>
      <c r="E938" s="14">
        <v>215.16</v>
      </c>
      <c r="F938" s="14"/>
      <c r="G938" s="14"/>
      <c r="H938" s="14"/>
      <c r="I938" s="14"/>
      <c r="J938" s="14">
        <f t="shared" si="232"/>
        <v>215.16</v>
      </c>
      <c r="L938" s="19"/>
    </row>
    <row r="939" spans="1:12" x14ac:dyDescent="0.25">
      <c r="A939" s="9" t="s">
        <v>13</v>
      </c>
      <c r="B939" s="14"/>
      <c r="C939" s="14"/>
      <c r="D939" s="14"/>
      <c r="E939" s="14"/>
      <c r="F939" s="14"/>
      <c r="G939" s="14"/>
      <c r="H939" s="14"/>
      <c r="I939" s="14"/>
      <c r="J939" s="14">
        <f t="shared" si="232"/>
        <v>0</v>
      </c>
      <c r="L939" s="19"/>
    </row>
    <row r="940" spans="1:12" x14ac:dyDescent="0.25">
      <c r="A940" s="9" t="s">
        <v>14</v>
      </c>
      <c r="B940" s="14"/>
      <c r="C940" s="14"/>
      <c r="D940" s="14"/>
      <c r="E940" s="14"/>
      <c r="F940" s="14"/>
      <c r="G940" s="14"/>
      <c r="H940" s="14"/>
      <c r="I940" s="14"/>
      <c r="J940" s="14">
        <f t="shared" si="232"/>
        <v>0</v>
      </c>
      <c r="L940" s="19"/>
    </row>
    <row r="941" spans="1:12" x14ac:dyDescent="0.25">
      <c r="A941" s="9" t="s">
        <v>15</v>
      </c>
      <c r="B941" s="14"/>
      <c r="C941" s="14"/>
      <c r="D941" s="14"/>
      <c r="E941" s="14"/>
      <c r="F941" s="14"/>
      <c r="G941" s="14"/>
      <c r="H941" s="14"/>
      <c r="I941" s="14"/>
      <c r="J941" s="14">
        <f t="shared" si="232"/>
        <v>0</v>
      </c>
      <c r="L941" s="19"/>
    </row>
    <row r="942" spans="1:12" x14ac:dyDescent="0.25">
      <c r="A942" s="9" t="s">
        <v>16</v>
      </c>
      <c r="B942" s="14"/>
      <c r="C942" s="14"/>
      <c r="D942" s="14"/>
      <c r="E942" s="14"/>
      <c r="F942" s="14"/>
      <c r="G942" s="14"/>
      <c r="H942" s="14"/>
      <c r="I942" s="14"/>
      <c r="J942" s="14">
        <f t="shared" si="232"/>
        <v>0</v>
      </c>
      <c r="L942" s="19"/>
    </row>
    <row r="943" spans="1:12" x14ac:dyDescent="0.25">
      <c r="A943" s="9" t="s">
        <v>17</v>
      </c>
      <c r="B943" s="14"/>
      <c r="C943" s="14"/>
      <c r="D943" s="14"/>
      <c r="E943" s="14"/>
      <c r="F943" s="14"/>
      <c r="G943" s="14"/>
      <c r="H943" s="14"/>
      <c r="I943" s="14"/>
      <c r="J943" s="14">
        <f t="shared" si="232"/>
        <v>0</v>
      </c>
      <c r="L943" s="19"/>
    </row>
    <row r="944" spans="1:12" x14ac:dyDescent="0.25">
      <c r="A944" s="9" t="s">
        <v>18</v>
      </c>
      <c r="B944" s="14">
        <f>128.94+21.49</f>
        <v>150.43</v>
      </c>
      <c r="C944" s="14"/>
      <c r="D944" s="14"/>
      <c r="E944" s="14"/>
      <c r="F944" s="14"/>
      <c r="G944" s="14"/>
      <c r="H944" s="14"/>
      <c r="I944" s="14"/>
      <c r="J944" s="14">
        <f t="shared" si="232"/>
        <v>150.43</v>
      </c>
      <c r="L944" s="19"/>
    </row>
    <row r="945" spans="1:12" x14ac:dyDescent="0.25">
      <c r="A945" s="9" t="s">
        <v>19</v>
      </c>
      <c r="B945" s="14"/>
      <c r="C945" s="14"/>
      <c r="D945" s="14"/>
      <c r="E945" s="14"/>
      <c r="F945" s="14"/>
      <c r="G945" s="14"/>
      <c r="H945" s="14"/>
      <c r="I945" s="14"/>
      <c r="J945" s="14">
        <f t="shared" si="232"/>
        <v>0</v>
      </c>
      <c r="L945" s="19"/>
    </row>
    <row r="946" spans="1:12" x14ac:dyDescent="0.25">
      <c r="A946" s="9" t="s">
        <v>20</v>
      </c>
      <c r="B946" s="14"/>
      <c r="C946" s="14"/>
      <c r="D946" s="14"/>
      <c r="E946" s="14"/>
      <c r="F946" s="14"/>
      <c r="G946" s="14"/>
      <c r="H946" s="14"/>
      <c r="I946" s="14"/>
      <c r="J946" s="14">
        <f t="shared" si="232"/>
        <v>0</v>
      </c>
      <c r="L946" s="19"/>
    </row>
    <row r="947" spans="1:12" x14ac:dyDescent="0.25">
      <c r="A947" s="5" t="s">
        <v>21</v>
      </c>
      <c r="B947" s="14">
        <f t="shared" ref="B947:I947" si="233">SUM(B937:B946)</f>
        <v>150.43</v>
      </c>
      <c r="C947" s="14">
        <f t="shared" si="233"/>
        <v>0</v>
      </c>
      <c r="D947" s="14">
        <f t="shared" si="233"/>
        <v>35830.28</v>
      </c>
      <c r="E947" s="14">
        <f t="shared" si="233"/>
        <v>215.16</v>
      </c>
      <c r="F947" s="14">
        <f t="shared" si="233"/>
        <v>0</v>
      </c>
      <c r="G947" s="14">
        <f t="shared" si="233"/>
        <v>0</v>
      </c>
      <c r="H947" s="14">
        <f t="shared" si="233"/>
        <v>0</v>
      </c>
      <c r="I947" s="14">
        <f t="shared" si="233"/>
        <v>0</v>
      </c>
      <c r="J947" s="14">
        <f t="shared" si="232"/>
        <v>36195.870000000003</v>
      </c>
      <c r="L947" s="19"/>
    </row>
    <row r="948" spans="1:12" x14ac:dyDescent="0.25">
      <c r="A948" s="9" t="s">
        <v>22</v>
      </c>
      <c r="B948" s="14"/>
      <c r="C948" s="14"/>
      <c r="D948" s="14"/>
      <c r="E948" s="14"/>
      <c r="F948" s="14"/>
      <c r="G948" s="14"/>
      <c r="H948" s="14"/>
      <c r="I948" s="14"/>
      <c r="J948" s="14">
        <f t="shared" si="232"/>
        <v>0</v>
      </c>
      <c r="L948" s="19"/>
    </row>
    <row r="949" spans="1:12" x14ac:dyDescent="0.25">
      <c r="A949" s="9" t="s">
        <v>23</v>
      </c>
      <c r="B949" s="14"/>
      <c r="C949" s="14"/>
      <c r="D949" s="14"/>
      <c r="E949" s="14"/>
      <c r="F949" s="14"/>
      <c r="G949" s="14"/>
      <c r="H949" s="14"/>
      <c r="I949" s="14"/>
      <c r="J949" s="14">
        <f t="shared" si="232"/>
        <v>0</v>
      </c>
      <c r="L949" s="19"/>
    </row>
    <row r="950" spans="1:12" x14ac:dyDescent="0.25">
      <c r="A950" s="5" t="s">
        <v>42</v>
      </c>
      <c r="B950" s="14">
        <f t="shared" ref="B950:J950" si="234">SUM(B948:B949)</f>
        <v>0</v>
      </c>
      <c r="C950" s="14">
        <f t="shared" si="234"/>
        <v>0</v>
      </c>
      <c r="D950" s="14">
        <f t="shared" si="234"/>
        <v>0</v>
      </c>
      <c r="E950" s="14">
        <f t="shared" si="234"/>
        <v>0</v>
      </c>
      <c r="F950" s="14">
        <f t="shared" si="234"/>
        <v>0</v>
      </c>
      <c r="G950" s="14">
        <f t="shared" si="234"/>
        <v>0</v>
      </c>
      <c r="H950" s="14">
        <f t="shared" si="234"/>
        <v>0</v>
      </c>
      <c r="I950" s="14">
        <f t="shared" si="234"/>
        <v>0</v>
      </c>
      <c r="J950" s="14">
        <f t="shared" si="234"/>
        <v>0</v>
      </c>
      <c r="L950" s="19"/>
    </row>
    <row r="951" spans="1:12" x14ac:dyDescent="0.25">
      <c r="A951" s="5" t="s">
        <v>24</v>
      </c>
      <c r="B951" s="14">
        <f t="shared" ref="B951:J951" si="235">B947+B950</f>
        <v>150.43</v>
      </c>
      <c r="C951" s="14">
        <f t="shared" si="235"/>
        <v>0</v>
      </c>
      <c r="D951" s="14">
        <f t="shared" si="235"/>
        <v>35830.28</v>
      </c>
      <c r="E951" s="14">
        <f t="shared" si="235"/>
        <v>215.16</v>
      </c>
      <c r="F951" s="14">
        <f t="shared" si="235"/>
        <v>0</v>
      </c>
      <c r="G951" s="14">
        <f t="shared" si="235"/>
        <v>0</v>
      </c>
      <c r="H951" s="14">
        <f t="shared" si="235"/>
        <v>0</v>
      </c>
      <c r="I951" s="14">
        <f t="shared" si="235"/>
        <v>0</v>
      </c>
      <c r="J951" s="14">
        <f t="shared" si="235"/>
        <v>36195.870000000003</v>
      </c>
      <c r="L951" s="19"/>
    </row>
    <row r="952" spans="1:12" x14ac:dyDescent="0.25">
      <c r="A952" s="10" t="s">
        <v>89</v>
      </c>
      <c r="B952" s="14"/>
      <c r="C952" s="14"/>
      <c r="D952" s="14"/>
      <c r="E952" s="14"/>
      <c r="F952" s="14"/>
      <c r="G952" s="14"/>
      <c r="H952" s="14"/>
      <c r="I952" s="14"/>
      <c r="J952" s="14"/>
      <c r="L952" s="19"/>
    </row>
    <row r="953" spans="1:12" x14ac:dyDescent="0.25">
      <c r="A953" s="9" t="s">
        <v>11</v>
      </c>
      <c r="B953" s="14"/>
      <c r="C953" s="14"/>
      <c r="D953" s="14">
        <f>50250.2+2668.93+4173</f>
        <v>57092.13</v>
      </c>
      <c r="E953" s="14"/>
      <c r="F953" s="14"/>
      <c r="G953" s="14"/>
      <c r="H953" s="14"/>
      <c r="I953" s="14"/>
      <c r="J953" s="14">
        <f t="shared" ref="J953:J965" si="236">SUM(B953:I953)</f>
        <v>57092.13</v>
      </c>
      <c r="L953" s="19"/>
    </row>
    <row r="954" spans="1:12" x14ac:dyDescent="0.25">
      <c r="A954" s="9" t="s">
        <v>12</v>
      </c>
      <c r="B954" s="14"/>
      <c r="C954" s="14"/>
      <c r="D954" s="14"/>
      <c r="E954" s="14">
        <v>215.16</v>
      </c>
      <c r="F954" s="14"/>
      <c r="G954" s="14"/>
      <c r="H954" s="14"/>
      <c r="I954" s="14"/>
      <c r="J954" s="14">
        <f t="shared" si="236"/>
        <v>215.16</v>
      </c>
      <c r="L954" s="19"/>
    </row>
    <row r="955" spans="1:12" x14ac:dyDescent="0.25">
      <c r="A955" s="9" t="s">
        <v>13</v>
      </c>
      <c r="B955" s="14"/>
      <c r="C955" s="14"/>
      <c r="D955" s="14"/>
      <c r="E955" s="14"/>
      <c r="F955" s="14"/>
      <c r="G955" s="14"/>
      <c r="H955" s="14"/>
      <c r="I955" s="14"/>
      <c r="J955" s="14">
        <f t="shared" si="236"/>
        <v>0</v>
      </c>
      <c r="L955" s="19"/>
    </row>
    <row r="956" spans="1:12" x14ac:dyDescent="0.25">
      <c r="A956" s="9" t="s">
        <v>14</v>
      </c>
      <c r="B956" s="14"/>
      <c r="C956" s="14"/>
      <c r="D956" s="14"/>
      <c r="E956" s="14"/>
      <c r="F956" s="14"/>
      <c r="G956" s="14"/>
      <c r="H956" s="14"/>
      <c r="I956" s="14"/>
      <c r="J956" s="14">
        <f t="shared" si="236"/>
        <v>0</v>
      </c>
      <c r="L956" s="19"/>
    </row>
    <row r="957" spans="1:12" x14ac:dyDescent="0.25">
      <c r="A957" s="9" t="s">
        <v>15</v>
      </c>
      <c r="B957" s="14"/>
      <c r="C957" s="14"/>
      <c r="D957" s="14"/>
      <c r="E957" s="14"/>
      <c r="F957" s="14"/>
      <c r="G957" s="14"/>
      <c r="H957" s="14"/>
      <c r="I957" s="14"/>
      <c r="J957" s="14">
        <f t="shared" si="236"/>
        <v>0</v>
      </c>
      <c r="L957" s="19"/>
    </row>
    <row r="958" spans="1:12" x14ac:dyDescent="0.25">
      <c r="A958" s="9" t="s">
        <v>16</v>
      </c>
      <c r="B958" s="14"/>
      <c r="C958" s="14"/>
      <c r="D958" s="14"/>
      <c r="E958" s="14"/>
      <c r="F958" s="14"/>
      <c r="G958" s="14"/>
      <c r="H958" s="14"/>
      <c r="I958" s="14"/>
      <c r="J958" s="14">
        <f t="shared" si="236"/>
        <v>0</v>
      </c>
      <c r="L958" s="19"/>
    </row>
    <row r="959" spans="1:12" x14ac:dyDescent="0.25">
      <c r="A959" s="9" t="s">
        <v>17</v>
      </c>
      <c r="B959" s="14"/>
      <c r="C959" s="14"/>
      <c r="D959" s="14"/>
      <c r="E959" s="14"/>
      <c r="F959" s="14"/>
      <c r="G959" s="14"/>
      <c r="H959" s="14"/>
      <c r="I959" s="14"/>
      <c r="J959" s="14">
        <f t="shared" si="236"/>
        <v>0</v>
      </c>
      <c r="L959" s="19"/>
    </row>
    <row r="960" spans="1:12" x14ac:dyDescent="0.25">
      <c r="A960" s="9" t="s">
        <v>18</v>
      </c>
      <c r="B960" s="14">
        <f>159.64+26.5</f>
        <v>186.14</v>
      </c>
      <c r="C960" s="14"/>
      <c r="D960" s="14"/>
      <c r="E960" s="14"/>
      <c r="F960" s="14"/>
      <c r="G960" s="14"/>
      <c r="H960" s="14"/>
      <c r="I960" s="14"/>
      <c r="J960" s="14">
        <f t="shared" si="236"/>
        <v>186.14</v>
      </c>
      <c r="L960" s="19"/>
    </row>
    <row r="961" spans="1:12" x14ac:dyDescent="0.25">
      <c r="A961" s="9" t="s">
        <v>19</v>
      </c>
      <c r="B961" s="14"/>
      <c r="C961" s="14"/>
      <c r="D961" s="14"/>
      <c r="E961" s="14"/>
      <c r="F961" s="14"/>
      <c r="G961" s="14"/>
      <c r="H961" s="14"/>
      <c r="I961" s="14"/>
      <c r="J961" s="14">
        <f t="shared" si="236"/>
        <v>0</v>
      </c>
      <c r="L961" s="19"/>
    </row>
    <row r="962" spans="1:12" x14ac:dyDescent="0.25">
      <c r="A962" s="9" t="s">
        <v>20</v>
      </c>
      <c r="B962" s="14"/>
      <c r="C962" s="14"/>
      <c r="D962" s="14"/>
      <c r="E962" s="14"/>
      <c r="F962" s="14"/>
      <c r="G962" s="14"/>
      <c r="H962" s="14"/>
      <c r="I962" s="14"/>
      <c r="J962" s="14">
        <f t="shared" si="236"/>
        <v>0</v>
      </c>
      <c r="L962" s="19"/>
    </row>
    <row r="963" spans="1:12" x14ac:dyDescent="0.25">
      <c r="A963" s="5" t="s">
        <v>21</v>
      </c>
      <c r="B963" s="14">
        <f t="shared" ref="B963:I963" si="237">SUM(B953:B962)</f>
        <v>186.14</v>
      </c>
      <c r="C963" s="14">
        <f t="shared" si="237"/>
        <v>0</v>
      </c>
      <c r="D963" s="14">
        <f t="shared" si="237"/>
        <v>57092.13</v>
      </c>
      <c r="E963" s="14">
        <f t="shared" si="237"/>
        <v>215.16</v>
      </c>
      <c r="F963" s="14">
        <f t="shared" si="237"/>
        <v>0</v>
      </c>
      <c r="G963" s="14">
        <f t="shared" si="237"/>
        <v>0</v>
      </c>
      <c r="H963" s="14">
        <f t="shared" si="237"/>
        <v>0</v>
      </c>
      <c r="I963" s="14">
        <f t="shared" si="237"/>
        <v>0</v>
      </c>
      <c r="J963" s="14">
        <f t="shared" si="236"/>
        <v>57493.43</v>
      </c>
      <c r="L963" s="19"/>
    </row>
    <row r="964" spans="1:12" x14ac:dyDescent="0.25">
      <c r="A964" s="9" t="s">
        <v>22</v>
      </c>
      <c r="B964" s="14"/>
      <c r="C964" s="14"/>
      <c r="D964" s="14"/>
      <c r="E964" s="14"/>
      <c r="F964" s="14"/>
      <c r="G964" s="14"/>
      <c r="H964" s="14"/>
      <c r="I964" s="14"/>
      <c r="J964" s="14">
        <f t="shared" si="236"/>
        <v>0</v>
      </c>
      <c r="L964" s="19"/>
    </row>
    <row r="965" spans="1:12" x14ac:dyDescent="0.25">
      <c r="A965" s="9" t="s">
        <v>23</v>
      </c>
      <c r="B965" s="14"/>
      <c r="C965" s="14"/>
      <c r="D965" s="14"/>
      <c r="E965" s="14"/>
      <c r="F965" s="14"/>
      <c r="G965" s="14"/>
      <c r="H965" s="14"/>
      <c r="I965" s="14"/>
      <c r="J965" s="14">
        <f t="shared" si="236"/>
        <v>0</v>
      </c>
      <c r="L965" s="19"/>
    </row>
    <row r="966" spans="1:12" x14ac:dyDescent="0.25">
      <c r="A966" s="5" t="s">
        <v>42</v>
      </c>
      <c r="B966" s="14">
        <f t="shared" ref="B966:J966" si="238">SUM(B964:B965)</f>
        <v>0</v>
      </c>
      <c r="C966" s="14">
        <f t="shared" si="238"/>
        <v>0</v>
      </c>
      <c r="D966" s="14">
        <f t="shared" si="238"/>
        <v>0</v>
      </c>
      <c r="E966" s="14">
        <f t="shared" si="238"/>
        <v>0</v>
      </c>
      <c r="F966" s="14">
        <f t="shared" si="238"/>
        <v>0</v>
      </c>
      <c r="G966" s="14">
        <f t="shared" si="238"/>
        <v>0</v>
      </c>
      <c r="H966" s="14">
        <f t="shared" si="238"/>
        <v>0</v>
      </c>
      <c r="I966" s="14">
        <f t="shared" si="238"/>
        <v>0</v>
      </c>
      <c r="J966" s="14">
        <f t="shared" si="238"/>
        <v>0</v>
      </c>
      <c r="L966" s="19"/>
    </row>
    <row r="967" spans="1:12" x14ac:dyDescent="0.25">
      <c r="A967" s="5" t="s">
        <v>24</v>
      </c>
      <c r="B967" s="14">
        <f t="shared" ref="B967:J967" si="239">B963+B966</f>
        <v>186.14</v>
      </c>
      <c r="C967" s="14">
        <f t="shared" si="239"/>
        <v>0</v>
      </c>
      <c r="D967" s="14">
        <f t="shared" si="239"/>
        <v>57092.13</v>
      </c>
      <c r="E967" s="14">
        <f t="shared" si="239"/>
        <v>215.16</v>
      </c>
      <c r="F967" s="14">
        <f t="shared" si="239"/>
        <v>0</v>
      </c>
      <c r="G967" s="14">
        <f t="shared" si="239"/>
        <v>0</v>
      </c>
      <c r="H967" s="14">
        <f t="shared" si="239"/>
        <v>0</v>
      </c>
      <c r="I967" s="14">
        <f t="shared" si="239"/>
        <v>0</v>
      </c>
      <c r="J967" s="14">
        <f t="shared" si="239"/>
        <v>57493.43</v>
      </c>
      <c r="L967" s="19"/>
    </row>
    <row r="968" spans="1:12" x14ac:dyDescent="0.25">
      <c r="A968" s="10" t="s">
        <v>90</v>
      </c>
      <c r="B968" s="14"/>
      <c r="C968" s="14"/>
      <c r="D968" s="14"/>
      <c r="E968" s="14"/>
      <c r="F968" s="14"/>
      <c r="G968" s="14"/>
      <c r="H968" s="14"/>
      <c r="I968" s="14"/>
      <c r="J968" s="14"/>
      <c r="L968" s="19"/>
    </row>
    <row r="969" spans="1:12" x14ac:dyDescent="0.25">
      <c r="A969" s="9" t="s">
        <v>11</v>
      </c>
      <c r="B969" s="14"/>
      <c r="C969" s="14"/>
      <c r="D969" s="14">
        <f>57928.03+5000</f>
        <v>62928.03</v>
      </c>
      <c r="E969" s="14"/>
      <c r="F969" s="14"/>
      <c r="G969" s="14"/>
      <c r="H969" s="14"/>
      <c r="I969" s="14"/>
      <c r="J969" s="14">
        <f t="shared" ref="J969:J981" si="240">SUM(B969:I969)</f>
        <v>62928.03</v>
      </c>
      <c r="L969" s="19"/>
    </row>
    <row r="970" spans="1:12" x14ac:dyDescent="0.25">
      <c r="A970" s="9" t="s">
        <v>12</v>
      </c>
      <c r="B970" s="14"/>
      <c r="C970" s="14"/>
      <c r="D970" s="14"/>
      <c r="E970" s="14">
        <v>215.16</v>
      </c>
      <c r="F970" s="14"/>
      <c r="G970" s="14"/>
      <c r="H970" s="14"/>
      <c r="I970" s="14"/>
      <c r="J970" s="14">
        <f t="shared" si="240"/>
        <v>215.16</v>
      </c>
      <c r="L970" s="19"/>
    </row>
    <row r="971" spans="1:12" x14ac:dyDescent="0.25">
      <c r="A971" s="9" t="s">
        <v>13</v>
      </c>
      <c r="B971" s="14"/>
      <c r="C971" s="14"/>
      <c r="D971" s="14"/>
      <c r="E971" s="14"/>
      <c r="F971" s="14"/>
      <c r="G971" s="14"/>
      <c r="H971" s="14"/>
      <c r="I971" s="14"/>
      <c r="J971" s="14">
        <f t="shared" si="240"/>
        <v>0</v>
      </c>
      <c r="L971" s="19"/>
    </row>
    <row r="972" spans="1:12" x14ac:dyDescent="0.25">
      <c r="A972" s="9" t="s">
        <v>14</v>
      </c>
      <c r="B972" s="14"/>
      <c r="C972" s="14"/>
      <c r="D972" s="14"/>
      <c r="E972" s="14"/>
      <c r="F972" s="14"/>
      <c r="G972" s="14"/>
      <c r="H972" s="14"/>
      <c r="I972" s="14"/>
      <c r="J972" s="14">
        <f t="shared" si="240"/>
        <v>0</v>
      </c>
      <c r="L972" s="19"/>
    </row>
    <row r="973" spans="1:12" x14ac:dyDescent="0.25">
      <c r="A973" s="9" t="s">
        <v>15</v>
      </c>
      <c r="B973" s="14"/>
      <c r="C973" s="14"/>
      <c r="D973" s="14"/>
      <c r="E973" s="14"/>
      <c r="F973" s="14"/>
      <c r="G973" s="14"/>
      <c r="H973" s="14"/>
      <c r="I973" s="14"/>
      <c r="J973" s="14">
        <f t="shared" si="240"/>
        <v>0</v>
      </c>
      <c r="L973" s="19"/>
    </row>
    <row r="974" spans="1:12" x14ac:dyDescent="0.25">
      <c r="A974" s="9" t="s">
        <v>16</v>
      </c>
      <c r="B974" s="14"/>
      <c r="C974" s="14"/>
      <c r="D974" s="14"/>
      <c r="E974" s="14"/>
      <c r="F974" s="14"/>
      <c r="G974" s="14"/>
      <c r="H974" s="14"/>
      <c r="I974" s="14"/>
      <c r="J974" s="14">
        <f t="shared" si="240"/>
        <v>0</v>
      </c>
      <c r="L974" s="19"/>
    </row>
    <row r="975" spans="1:12" x14ac:dyDescent="0.25">
      <c r="A975" s="9" t="s">
        <v>17</v>
      </c>
      <c r="B975" s="14"/>
      <c r="C975" s="14"/>
      <c r="D975" s="14"/>
      <c r="E975" s="14"/>
      <c r="F975" s="14"/>
      <c r="G975" s="14"/>
      <c r="H975" s="14"/>
      <c r="I975" s="14"/>
      <c r="J975" s="14">
        <f t="shared" si="240"/>
        <v>0</v>
      </c>
      <c r="L975" s="19"/>
    </row>
    <row r="976" spans="1:12" x14ac:dyDescent="0.25">
      <c r="A976" s="9" t="s">
        <v>18</v>
      </c>
      <c r="B976" s="14">
        <f>58.33+9.72</f>
        <v>68.05</v>
      </c>
      <c r="C976" s="14"/>
      <c r="D976" s="14"/>
      <c r="E976" s="14"/>
      <c r="F976" s="14"/>
      <c r="G976" s="14"/>
      <c r="H976" s="14"/>
      <c r="I976" s="14"/>
      <c r="J976" s="14">
        <f t="shared" si="240"/>
        <v>68.05</v>
      </c>
      <c r="L976" s="19"/>
    </row>
    <row r="977" spans="1:12" x14ac:dyDescent="0.25">
      <c r="A977" s="9" t="s">
        <v>19</v>
      </c>
      <c r="B977" s="14"/>
      <c r="C977" s="14"/>
      <c r="D977" s="14"/>
      <c r="E977" s="14"/>
      <c r="F977" s="14"/>
      <c r="G977" s="14"/>
      <c r="H977" s="14"/>
      <c r="I977" s="14"/>
      <c r="J977" s="14">
        <f t="shared" si="240"/>
        <v>0</v>
      </c>
      <c r="L977" s="19"/>
    </row>
    <row r="978" spans="1:12" x14ac:dyDescent="0.25">
      <c r="A978" s="9" t="s">
        <v>20</v>
      </c>
      <c r="B978" s="14"/>
      <c r="C978" s="14"/>
      <c r="D978" s="14"/>
      <c r="E978" s="14"/>
      <c r="F978" s="14"/>
      <c r="G978" s="14"/>
      <c r="H978" s="14"/>
      <c r="I978" s="14"/>
      <c r="J978" s="14">
        <f t="shared" si="240"/>
        <v>0</v>
      </c>
      <c r="L978" s="19"/>
    </row>
    <row r="979" spans="1:12" x14ac:dyDescent="0.25">
      <c r="A979" s="5" t="s">
        <v>21</v>
      </c>
      <c r="B979" s="14">
        <f t="shared" ref="B979:I979" si="241">SUM(B969:B978)</f>
        <v>68.05</v>
      </c>
      <c r="C979" s="14">
        <f t="shared" si="241"/>
        <v>0</v>
      </c>
      <c r="D979" s="14">
        <f t="shared" si="241"/>
        <v>62928.03</v>
      </c>
      <c r="E979" s="14">
        <f t="shared" si="241"/>
        <v>215.16</v>
      </c>
      <c r="F979" s="14">
        <f t="shared" si="241"/>
        <v>0</v>
      </c>
      <c r="G979" s="14">
        <f t="shared" si="241"/>
        <v>0</v>
      </c>
      <c r="H979" s="14">
        <f t="shared" si="241"/>
        <v>0</v>
      </c>
      <c r="I979" s="14">
        <f t="shared" si="241"/>
        <v>0</v>
      </c>
      <c r="J979" s="14">
        <f t="shared" si="240"/>
        <v>63211.240000000005</v>
      </c>
      <c r="L979" s="19"/>
    </row>
    <row r="980" spans="1:12" x14ac:dyDescent="0.25">
      <c r="A980" s="9" t="s">
        <v>22</v>
      </c>
      <c r="B980" s="14"/>
      <c r="C980" s="14"/>
      <c r="D980" s="14"/>
      <c r="E980" s="14"/>
      <c r="F980" s="14"/>
      <c r="G980" s="14"/>
      <c r="H980" s="14"/>
      <c r="I980" s="14"/>
      <c r="J980" s="14">
        <f t="shared" si="240"/>
        <v>0</v>
      </c>
      <c r="L980" s="19"/>
    </row>
    <row r="981" spans="1:12" x14ac:dyDescent="0.25">
      <c r="A981" s="9" t="s">
        <v>23</v>
      </c>
      <c r="B981" s="14"/>
      <c r="C981" s="14"/>
      <c r="D981" s="14"/>
      <c r="E981" s="14"/>
      <c r="F981" s="14"/>
      <c r="G981" s="14"/>
      <c r="H981" s="14"/>
      <c r="I981" s="14"/>
      <c r="J981" s="14">
        <f t="shared" si="240"/>
        <v>0</v>
      </c>
      <c r="L981" s="19"/>
    </row>
    <row r="982" spans="1:12" x14ac:dyDescent="0.25">
      <c r="A982" s="5" t="s">
        <v>42</v>
      </c>
      <c r="B982" s="14">
        <f t="shared" ref="B982:J982" si="242">SUM(B980:B981)</f>
        <v>0</v>
      </c>
      <c r="C982" s="14">
        <f t="shared" si="242"/>
        <v>0</v>
      </c>
      <c r="D982" s="14">
        <f t="shared" si="242"/>
        <v>0</v>
      </c>
      <c r="E982" s="14">
        <f t="shared" si="242"/>
        <v>0</v>
      </c>
      <c r="F982" s="14">
        <f t="shared" si="242"/>
        <v>0</v>
      </c>
      <c r="G982" s="14">
        <f t="shared" si="242"/>
        <v>0</v>
      </c>
      <c r="H982" s="14">
        <f t="shared" si="242"/>
        <v>0</v>
      </c>
      <c r="I982" s="14">
        <f t="shared" si="242"/>
        <v>0</v>
      </c>
      <c r="J982" s="14">
        <f t="shared" si="242"/>
        <v>0</v>
      </c>
      <c r="L982" s="19"/>
    </row>
    <row r="983" spans="1:12" x14ac:dyDescent="0.25">
      <c r="A983" s="5" t="s">
        <v>24</v>
      </c>
      <c r="B983" s="14">
        <f t="shared" ref="B983:J983" si="243">B979+B982</f>
        <v>68.05</v>
      </c>
      <c r="C983" s="14">
        <f t="shared" si="243"/>
        <v>0</v>
      </c>
      <c r="D983" s="14">
        <f t="shared" si="243"/>
        <v>62928.03</v>
      </c>
      <c r="E983" s="14">
        <f t="shared" si="243"/>
        <v>215.16</v>
      </c>
      <c r="F983" s="14">
        <f t="shared" si="243"/>
        <v>0</v>
      </c>
      <c r="G983" s="14">
        <f t="shared" si="243"/>
        <v>0</v>
      </c>
      <c r="H983" s="14">
        <f t="shared" si="243"/>
        <v>0</v>
      </c>
      <c r="I983" s="14">
        <f t="shared" si="243"/>
        <v>0</v>
      </c>
      <c r="J983" s="14">
        <f t="shared" si="243"/>
        <v>63211.240000000005</v>
      </c>
      <c r="L983" s="19"/>
    </row>
    <row r="984" spans="1:12" x14ac:dyDescent="0.25">
      <c r="A984" s="10" t="s">
        <v>91</v>
      </c>
      <c r="B984" s="14"/>
      <c r="C984" s="14"/>
      <c r="D984" s="14"/>
      <c r="E984" s="14"/>
      <c r="F984" s="14"/>
      <c r="G984" s="14"/>
      <c r="H984" s="14"/>
      <c r="I984" s="14"/>
      <c r="J984" s="14"/>
      <c r="L984" s="19"/>
    </row>
    <row r="985" spans="1:12" x14ac:dyDescent="0.25">
      <c r="A985" s="9" t="s">
        <v>11</v>
      </c>
      <c r="B985" s="14"/>
      <c r="C985" s="14"/>
      <c r="D985" s="14">
        <f>48972.22+6120.18+6120.18</f>
        <v>61212.58</v>
      </c>
      <c r="E985" s="14"/>
      <c r="F985" s="14"/>
      <c r="G985" s="14"/>
      <c r="H985" s="14"/>
      <c r="I985" s="14"/>
      <c r="J985" s="14">
        <f t="shared" ref="J985:J997" si="244">SUM(B985:I985)</f>
        <v>61212.58</v>
      </c>
      <c r="L985" s="19"/>
    </row>
    <row r="986" spans="1:12" x14ac:dyDescent="0.25">
      <c r="A986" s="9" t="s">
        <v>12</v>
      </c>
      <c r="B986" s="14"/>
      <c r="C986" s="14"/>
      <c r="D986" s="14"/>
      <c r="E986" s="14">
        <v>215.16</v>
      </c>
      <c r="F986" s="14"/>
      <c r="G986" s="14"/>
      <c r="H986" s="14"/>
      <c r="I986" s="14"/>
      <c r="J986" s="14">
        <f t="shared" si="244"/>
        <v>215.16</v>
      </c>
      <c r="L986" s="19"/>
    </row>
    <row r="987" spans="1:12" x14ac:dyDescent="0.25">
      <c r="A987" s="9" t="s">
        <v>13</v>
      </c>
      <c r="B987" s="14"/>
      <c r="C987" s="14"/>
      <c r="D987" s="14"/>
      <c r="E987" s="14"/>
      <c r="F987" s="14"/>
      <c r="G987" s="14"/>
      <c r="H987" s="14"/>
      <c r="I987" s="14"/>
      <c r="J987" s="14">
        <f t="shared" si="244"/>
        <v>0</v>
      </c>
      <c r="L987" s="19"/>
    </row>
    <row r="988" spans="1:12" x14ac:dyDescent="0.25">
      <c r="A988" s="9" t="s">
        <v>14</v>
      </c>
      <c r="B988" s="14"/>
      <c r="C988" s="14"/>
      <c r="D988" s="14">
        <f>138.77</f>
        <v>138.77000000000001</v>
      </c>
      <c r="E988" s="14"/>
      <c r="F988" s="14"/>
      <c r="G988" s="14"/>
      <c r="H988" s="14"/>
      <c r="I988" s="14"/>
      <c r="J988" s="14">
        <f t="shared" si="244"/>
        <v>138.77000000000001</v>
      </c>
      <c r="L988" s="19"/>
    </row>
    <row r="989" spans="1:12" x14ac:dyDescent="0.25">
      <c r="A989" s="9" t="s">
        <v>15</v>
      </c>
      <c r="B989" s="14"/>
      <c r="C989" s="14"/>
      <c r="D989" s="14"/>
      <c r="E989" s="14"/>
      <c r="F989" s="14"/>
      <c r="G989" s="14"/>
      <c r="H989" s="14"/>
      <c r="I989" s="14"/>
      <c r="J989" s="14">
        <f t="shared" si="244"/>
        <v>0</v>
      </c>
      <c r="L989" s="19"/>
    </row>
    <row r="990" spans="1:12" x14ac:dyDescent="0.25">
      <c r="A990" s="9" t="s">
        <v>16</v>
      </c>
      <c r="B990" s="14"/>
      <c r="C990" s="14"/>
      <c r="D990" s="14"/>
      <c r="E990" s="14"/>
      <c r="F990" s="14"/>
      <c r="G990" s="14"/>
      <c r="H990" s="14"/>
      <c r="I990" s="14"/>
      <c r="J990" s="14">
        <f t="shared" si="244"/>
        <v>0</v>
      </c>
      <c r="L990" s="19"/>
    </row>
    <row r="991" spans="1:12" x14ac:dyDescent="0.25">
      <c r="A991" s="9" t="s">
        <v>17</v>
      </c>
      <c r="B991" s="14"/>
      <c r="C991" s="14"/>
      <c r="D991" s="14"/>
      <c r="E991" s="14"/>
      <c r="F991" s="14"/>
      <c r="G991" s="14"/>
      <c r="H991" s="14"/>
      <c r="I991" s="14"/>
      <c r="J991" s="14">
        <f t="shared" si="244"/>
        <v>0</v>
      </c>
      <c r="L991" s="19"/>
    </row>
    <row r="992" spans="1:12" x14ac:dyDescent="0.25">
      <c r="A992" s="9" t="s">
        <v>18</v>
      </c>
      <c r="B992" s="14">
        <f>46.05+7.6</f>
        <v>53.65</v>
      </c>
      <c r="C992" s="14"/>
      <c r="D992" s="14"/>
      <c r="E992" s="14"/>
      <c r="F992" s="14"/>
      <c r="G992" s="14"/>
      <c r="H992" s="14"/>
      <c r="I992" s="14"/>
      <c r="J992" s="14">
        <f t="shared" si="244"/>
        <v>53.65</v>
      </c>
      <c r="L992" s="19"/>
    </row>
    <row r="993" spans="1:12" x14ac:dyDescent="0.25">
      <c r="A993" s="9" t="s">
        <v>19</v>
      </c>
      <c r="B993" s="14"/>
      <c r="C993" s="14"/>
      <c r="D993" s="14"/>
      <c r="E993" s="14"/>
      <c r="F993" s="14"/>
      <c r="G993" s="14"/>
      <c r="H993" s="14"/>
      <c r="I993" s="14"/>
      <c r="J993" s="14">
        <f t="shared" si="244"/>
        <v>0</v>
      </c>
      <c r="L993" s="19"/>
    </row>
    <row r="994" spans="1:12" x14ac:dyDescent="0.25">
      <c r="A994" s="9" t="s">
        <v>20</v>
      </c>
      <c r="B994" s="14"/>
      <c r="C994" s="14"/>
      <c r="D994" s="14"/>
      <c r="E994" s="14"/>
      <c r="F994" s="14"/>
      <c r="G994" s="14"/>
      <c r="H994" s="14"/>
      <c r="I994" s="14"/>
      <c r="J994" s="14">
        <f t="shared" si="244"/>
        <v>0</v>
      </c>
      <c r="L994" s="19"/>
    </row>
    <row r="995" spans="1:12" x14ac:dyDescent="0.25">
      <c r="A995" s="5" t="s">
        <v>21</v>
      </c>
      <c r="B995" s="14">
        <f t="shared" ref="B995:I995" si="245">SUM(B985:B994)</f>
        <v>53.65</v>
      </c>
      <c r="C995" s="14">
        <f t="shared" si="245"/>
        <v>0</v>
      </c>
      <c r="D995" s="14">
        <f t="shared" si="245"/>
        <v>61351.35</v>
      </c>
      <c r="E995" s="14">
        <f t="shared" si="245"/>
        <v>215.16</v>
      </c>
      <c r="F995" s="14">
        <f t="shared" si="245"/>
        <v>0</v>
      </c>
      <c r="G995" s="14">
        <f t="shared" si="245"/>
        <v>0</v>
      </c>
      <c r="H995" s="14">
        <f t="shared" si="245"/>
        <v>0</v>
      </c>
      <c r="I995" s="14">
        <f t="shared" si="245"/>
        <v>0</v>
      </c>
      <c r="J995" s="14">
        <f t="shared" si="244"/>
        <v>61620.160000000003</v>
      </c>
      <c r="L995" s="19"/>
    </row>
    <row r="996" spans="1:12" x14ac:dyDescent="0.25">
      <c r="A996" s="9" t="s">
        <v>22</v>
      </c>
      <c r="B996" s="14"/>
      <c r="C996" s="14"/>
      <c r="D996" s="14"/>
      <c r="E996" s="14"/>
      <c r="F996" s="14"/>
      <c r="G996" s="14"/>
      <c r="H996" s="14"/>
      <c r="I996" s="14"/>
      <c r="J996" s="14">
        <f t="shared" si="244"/>
        <v>0</v>
      </c>
      <c r="L996" s="19"/>
    </row>
    <row r="997" spans="1:12" x14ac:dyDescent="0.25">
      <c r="A997" s="9" t="s">
        <v>23</v>
      </c>
      <c r="B997" s="14"/>
      <c r="C997" s="14"/>
      <c r="D997" s="14"/>
      <c r="E997" s="14"/>
      <c r="F997" s="14"/>
      <c r="G997" s="14"/>
      <c r="H997" s="14"/>
      <c r="I997" s="14"/>
      <c r="J997" s="14">
        <f t="shared" si="244"/>
        <v>0</v>
      </c>
      <c r="L997" s="19"/>
    </row>
    <row r="998" spans="1:12" x14ac:dyDescent="0.25">
      <c r="A998" s="5" t="s">
        <v>42</v>
      </c>
      <c r="B998" s="14">
        <f t="shared" ref="B998:J998" si="246">SUM(B996:B997)</f>
        <v>0</v>
      </c>
      <c r="C998" s="14">
        <f t="shared" si="246"/>
        <v>0</v>
      </c>
      <c r="D998" s="14">
        <f t="shared" si="246"/>
        <v>0</v>
      </c>
      <c r="E998" s="14">
        <f t="shared" si="246"/>
        <v>0</v>
      </c>
      <c r="F998" s="14">
        <f t="shared" si="246"/>
        <v>0</v>
      </c>
      <c r="G998" s="14">
        <f t="shared" si="246"/>
        <v>0</v>
      </c>
      <c r="H998" s="14">
        <f t="shared" si="246"/>
        <v>0</v>
      </c>
      <c r="I998" s="14">
        <f t="shared" si="246"/>
        <v>0</v>
      </c>
      <c r="J998" s="14">
        <f t="shared" si="246"/>
        <v>0</v>
      </c>
      <c r="L998" s="19"/>
    </row>
    <row r="999" spans="1:12" x14ac:dyDescent="0.25">
      <c r="A999" s="5" t="s">
        <v>24</v>
      </c>
      <c r="B999" s="14">
        <f t="shared" ref="B999:J999" si="247">B995+B998</f>
        <v>53.65</v>
      </c>
      <c r="C999" s="14">
        <f t="shared" si="247"/>
        <v>0</v>
      </c>
      <c r="D999" s="14">
        <f t="shared" si="247"/>
        <v>61351.35</v>
      </c>
      <c r="E999" s="14">
        <f t="shared" si="247"/>
        <v>215.16</v>
      </c>
      <c r="F999" s="14">
        <f t="shared" si="247"/>
        <v>0</v>
      </c>
      <c r="G999" s="14">
        <f t="shared" si="247"/>
        <v>0</v>
      </c>
      <c r="H999" s="14">
        <f t="shared" si="247"/>
        <v>0</v>
      </c>
      <c r="I999" s="14">
        <f t="shared" si="247"/>
        <v>0</v>
      </c>
      <c r="J999" s="14">
        <f t="shared" si="247"/>
        <v>61620.160000000003</v>
      </c>
      <c r="L999" s="19"/>
    </row>
    <row r="1000" spans="1:12" x14ac:dyDescent="0.25">
      <c r="A1000" s="10" t="s">
        <v>92</v>
      </c>
      <c r="B1000" s="14"/>
      <c r="C1000" s="14"/>
      <c r="D1000" s="14"/>
      <c r="E1000" s="14"/>
      <c r="F1000" s="14"/>
      <c r="G1000" s="14"/>
      <c r="H1000" s="14"/>
      <c r="I1000" s="14"/>
      <c r="J1000" s="14"/>
      <c r="L1000" s="19"/>
    </row>
    <row r="1001" spans="1:12" x14ac:dyDescent="0.25">
      <c r="A1001" s="9" t="s">
        <v>11</v>
      </c>
      <c r="B1001" s="14"/>
      <c r="C1001" s="14"/>
      <c r="D1001" s="14">
        <f>42090.46+7195.26+7195.26</f>
        <v>56480.98</v>
      </c>
      <c r="E1001" s="14"/>
      <c r="F1001" s="14"/>
      <c r="G1001" s="14"/>
      <c r="H1001" s="14"/>
      <c r="I1001" s="14"/>
      <c r="J1001" s="14">
        <f t="shared" ref="J1001:J1013" si="248">SUM(B1001:I1001)</f>
        <v>56480.98</v>
      </c>
      <c r="L1001" s="19"/>
    </row>
    <row r="1002" spans="1:12" x14ac:dyDescent="0.25">
      <c r="A1002" s="9" t="s">
        <v>12</v>
      </c>
      <c r="B1002" s="14"/>
      <c r="C1002" s="14"/>
      <c r="D1002" s="14"/>
      <c r="E1002" s="14">
        <v>215.16</v>
      </c>
      <c r="F1002" s="14"/>
      <c r="G1002" s="14"/>
      <c r="H1002" s="14"/>
      <c r="I1002" s="14"/>
      <c r="J1002" s="14">
        <f t="shared" si="248"/>
        <v>215.16</v>
      </c>
      <c r="L1002" s="19"/>
    </row>
    <row r="1003" spans="1:12" x14ac:dyDescent="0.25">
      <c r="A1003" s="9" t="s">
        <v>13</v>
      </c>
      <c r="B1003" s="14"/>
      <c r="C1003" s="14"/>
      <c r="D1003" s="14"/>
      <c r="E1003" s="14"/>
      <c r="F1003" s="14"/>
      <c r="G1003" s="14"/>
      <c r="H1003" s="14"/>
      <c r="I1003" s="14"/>
      <c r="J1003" s="14">
        <f t="shared" si="248"/>
        <v>0</v>
      </c>
      <c r="L1003" s="19"/>
    </row>
    <row r="1004" spans="1:12" x14ac:dyDescent="0.25">
      <c r="A1004" s="9" t="s">
        <v>14</v>
      </c>
      <c r="B1004" s="14"/>
      <c r="C1004" s="14"/>
      <c r="D1004" s="14"/>
      <c r="E1004" s="14"/>
      <c r="F1004" s="14"/>
      <c r="G1004" s="14"/>
      <c r="H1004" s="14"/>
      <c r="I1004" s="14"/>
      <c r="J1004" s="14">
        <f t="shared" si="248"/>
        <v>0</v>
      </c>
      <c r="L1004" s="19"/>
    </row>
    <row r="1005" spans="1:12" x14ac:dyDescent="0.25">
      <c r="A1005" s="9" t="s">
        <v>15</v>
      </c>
      <c r="B1005" s="14"/>
      <c r="C1005" s="14"/>
      <c r="D1005" s="14"/>
      <c r="E1005" s="14"/>
      <c r="F1005" s="14"/>
      <c r="G1005" s="14"/>
      <c r="H1005" s="14"/>
      <c r="I1005" s="14"/>
      <c r="J1005" s="14">
        <f t="shared" si="248"/>
        <v>0</v>
      </c>
      <c r="L1005" s="19"/>
    </row>
    <row r="1006" spans="1:12" x14ac:dyDescent="0.25">
      <c r="A1006" s="9" t="s">
        <v>16</v>
      </c>
      <c r="B1006" s="14"/>
      <c r="C1006" s="14"/>
      <c r="D1006" s="14"/>
      <c r="E1006" s="14"/>
      <c r="F1006" s="14"/>
      <c r="G1006" s="14"/>
      <c r="H1006" s="14"/>
      <c r="I1006" s="14"/>
      <c r="J1006" s="14">
        <f t="shared" si="248"/>
        <v>0</v>
      </c>
      <c r="L1006" s="19"/>
    </row>
    <row r="1007" spans="1:12" x14ac:dyDescent="0.25">
      <c r="A1007" s="9" t="s">
        <v>17</v>
      </c>
      <c r="B1007" s="14"/>
      <c r="C1007" s="14"/>
      <c r="D1007" s="14"/>
      <c r="E1007" s="14"/>
      <c r="F1007" s="14"/>
      <c r="G1007" s="14"/>
      <c r="H1007" s="14"/>
      <c r="I1007" s="14"/>
      <c r="J1007" s="14">
        <f t="shared" si="248"/>
        <v>0</v>
      </c>
      <c r="L1007" s="19"/>
    </row>
    <row r="1008" spans="1:12" x14ac:dyDescent="0.25">
      <c r="A1008" s="9" t="s">
        <v>18</v>
      </c>
      <c r="B1008" s="14">
        <f>144.29+24</f>
        <v>168.29</v>
      </c>
      <c r="C1008" s="14"/>
      <c r="D1008" s="14"/>
      <c r="E1008" s="14"/>
      <c r="F1008" s="14"/>
      <c r="G1008" s="14"/>
      <c r="H1008" s="14"/>
      <c r="I1008" s="14"/>
      <c r="J1008" s="14">
        <f t="shared" si="248"/>
        <v>168.29</v>
      </c>
      <c r="L1008" s="19"/>
    </row>
    <row r="1009" spans="1:12" x14ac:dyDescent="0.25">
      <c r="A1009" s="9" t="s">
        <v>19</v>
      </c>
      <c r="B1009" s="14"/>
      <c r="C1009" s="14"/>
      <c r="D1009" s="14"/>
      <c r="E1009" s="14"/>
      <c r="F1009" s="14"/>
      <c r="G1009" s="14"/>
      <c r="H1009" s="14"/>
      <c r="I1009" s="14"/>
      <c r="J1009" s="14">
        <f t="shared" si="248"/>
        <v>0</v>
      </c>
      <c r="L1009" s="19"/>
    </row>
    <row r="1010" spans="1:12" x14ac:dyDescent="0.25">
      <c r="A1010" s="9" t="s">
        <v>20</v>
      </c>
      <c r="B1010" s="14"/>
      <c r="C1010" s="14"/>
      <c r="D1010" s="14"/>
      <c r="E1010" s="14"/>
      <c r="F1010" s="14"/>
      <c r="G1010" s="14"/>
      <c r="H1010" s="14"/>
      <c r="I1010" s="14"/>
      <c r="J1010" s="14">
        <f t="shared" si="248"/>
        <v>0</v>
      </c>
      <c r="L1010" s="19"/>
    </row>
    <row r="1011" spans="1:12" x14ac:dyDescent="0.25">
      <c r="A1011" s="5" t="s">
        <v>21</v>
      </c>
      <c r="B1011" s="14">
        <f t="shared" ref="B1011:I1011" si="249">SUM(B1001:B1010)</f>
        <v>168.29</v>
      </c>
      <c r="C1011" s="14">
        <f t="shared" si="249"/>
        <v>0</v>
      </c>
      <c r="D1011" s="14">
        <f t="shared" si="249"/>
        <v>56480.98</v>
      </c>
      <c r="E1011" s="14">
        <f t="shared" si="249"/>
        <v>215.16</v>
      </c>
      <c r="F1011" s="14">
        <f t="shared" si="249"/>
        <v>0</v>
      </c>
      <c r="G1011" s="14">
        <f t="shared" si="249"/>
        <v>0</v>
      </c>
      <c r="H1011" s="14">
        <f t="shared" si="249"/>
        <v>0</v>
      </c>
      <c r="I1011" s="14">
        <f t="shared" si="249"/>
        <v>0</v>
      </c>
      <c r="J1011" s="14">
        <f t="shared" si="248"/>
        <v>56864.430000000008</v>
      </c>
      <c r="L1011" s="19"/>
    </row>
    <row r="1012" spans="1:12" x14ac:dyDescent="0.25">
      <c r="A1012" s="9" t="s">
        <v>22</v>
      </c>
      <c r="B1012" s="14"/>
      <c r="C1012" s="14"/>
      <c r="D1012" s="14"/>
      <c r="E1012" s="14"/>
      <c r="F1012" s="14"/>
      <c r="G1012" s="14"/>
      <c r="H1012" s="14"/>
      <c r="I1012" s="14"/>
      <c r="J1012" s="14">
        <f t="shared" si="248"/>
        <v>0</v>
      </c>
      <c r="L1012" s="19"/>
    </row>
    <row r="1013" spans="1:12" x14ac:dyDescent="0.25">
      <c r="A1013" s="9" t="s">
        <v>23</v>
      </c>
      <c r="B1013" s="14"/>
      <c r="C1013" s="14"/>
      <c r="D1013" s="14"/>
      <c r="E1013" s="14"/>
      <c r="F1013" s="14"/>
      <c r="G1013" s="14"/>
      <c r="H1013" s="14"/>
      <c r="I1013" s="14"/>
      <c r="J1013" s="14">
        <f t="shared" si="248"/>
        <v>0</v>
      </c>
      <c r="L1013" s="19"/>
    </row>
    <row r="1014" spans="1:12" x14ac:dyDescent="0.25">
      <c r="A1014" s="5" t="s">
        <v>42</v>
      </c>
      <c r="B1014" s="14">
        <f t="shared" ref="B1014:J1014" si="250">SUM(B1012:B1013)</f>
        <v>0</v>
      </c>
      <c r="C1014" s="14">
        <f t="shared" si="250"/>
        <v>0</v>
      </c>
      <c r="D1014" s="14">
        <f t="shared" si="250"/>
        <v>0</v>
      </c>
      <c r="E1014" s="14">
        <f t="shared" si="250"/>
        <v>0</v>
      </c>
      <c r="F1014" s="14">
        <f t="shared" si="250"/>
        <v>0</v>
      </c>
      <c r="G1014" s="14">
        <f t="shared" si="250"/>
        <v>0</v>
      </c>
      <c r="H1014" s="14">
        <f t="shared" si="250"/>
        <v>0</v>
      </c>
      <c r="I1014" s="14">
        <f t="shared" si="250"/>
        <v>0</v>
      </c>
      <c r="J1014" s="14">
        <f t="shared" si="250"/>
        <v>0</v>
      </c>
      <c r="L1014" s="19"/>
    </row>
    <row r="1015" spans="1:12" x14ac:dyDescent="0.25">
      <c r="A1015" s="5" t="s">
        <v>24</v>
      </c>
      <c r="B1015" s="14">
        <f t="shared" ref="B1015:J1015" si="251">B1011+B1014</f>
        <v>168.29</v>
      </c>
      <c r="C1015" s="14">
        <f t="shared" si="251"/>
        <v>0</v>
      </c>
      <c r="D1015" s="14">
        <f t="shared" si="251"/>
        <v>56480.98</v>
      </c>
      <c r="E1015" s="14">
        <f t="shared" si="251"/>
        <v>215.16</v>
      </c>
      <c r="F1015" s="14">
        <f t="shared" si="251"/>
        <v>0</v>
      </c>
      <c r="G1015" s="14">
        <f t="shared" si="251"/>
        <v>0</v>
      </c>
      <c r="H1015" s="14">
        <f t="shared" si="251"/>
        <v>0</v>
      </c>
      <c r="I1015" s="14">
        <f t="shared" si="251"/>
        <v>0</v>
      </c>
      <c r="J1015" s="14">
        <f t="shared" si="251"/>
        <v>56864.430000000008</v>
      </c>
      <c r="L1015" s="19"/>
    </row>
    <row r="1016" spans="1:12" x14ac:dyDescent="0.25">
      <c r="A1016" s="10" t="s">
        <v>93</v>
      </c>
      <c r="B1016" s="14"/>
      <c r="C1016" s="14"/>
      <c r="D1016" s="14"/>
      <c r="E1016" s="14"/>
      <c r="F1016" s="14"/>
      <c r="G1016" s="14"/>
      <c r="H1016" s="14"/>
      <c r="I1016" s="14"/>
      <c r="J1016" s="14"/>
      <c r="L1016" s="19"/>
    </row>
    <row r="1017" spans="1:12" x14ac:dyDescent="0.25">
      <c r="A1017" s="9" t="s">
        <v>11</v>
      </c>
      <c r="B1017" s="14"/>
      <c r="C1017" s="14"/>
      <c r="D1017" s="14">
        <f>43014.48+2511.82+4723</f>
        <v>50249.3</v>
      </c>
      <c r="E1017" s="14"/>
      <c r="F1017" s="14"/>
      <c r="G1017" s="14"/>
      <c r="H1017" s="14"/>
      <c r="I1017" s="14"/>
      <c r="J1017" s="14">
        <f t="shared" ref="J1017:J1029" si="252">SUM(B1017:I1017)</f>
        <v>50249.3</v>
      </c>
      <c r="L1017" s="19"/>
    </row>
    <row r="1018" spans="1:12" x14ac:dyDescent="0.25">
      <c r="A1018" s="9" t="s">
        <v>12</v>
      </c>
      <c r="B1018" s="14"/>
      <c r="C1018" s="14"/>
      <c r="D1018" s="14">
        <v>399</v>
      </c>
      <c r="E1018" s="14">
        <v>215.16</v>
      </c>
      <c r="F1018" s="14"/>
      <c r="G1018" s="14"/>
      <c r="H1018" s="14"/>
      <c r="I1018" s="14"/>
      <c r="J1018" s="14">
        <f t="shared" si="252"/>
        <v>614.16</v>
      </c>
      <c r="L1018" s="19"/>
    </row>
    <row r="1019" spans="1:12" x14ac:dyDescent="0.25">
      <c r="A1019" s="9" t="s">
        <v>13</v>
      </c>
      <c r="B1019" s="14"/>
      <c r="C1019" s="14"/>
      <c r="D1019" s="14"/>
      <c r="E1019" s="14"/>
      <c r="F1019" s="14"/>
      <c r="G1019" s="14"/>
      <c r="H1019" s="14"/>
      <c r="I1019" s="14"/>
      <c r="J1019" s="14">
        <f t="shared" si="252"/>
        <v>0</v>
      </c>
      <c r="L1019" s="19"/>
    </row>
    <row r="1020" spans="1:12" x14ac:dyDescent="0.25">
      <c r="A1020" s="9" t="s">
        <v>14</v>
      </c>
      <c r="B1020" s="14"/>
      <c r="C1020" s="14"/>
      <c r="D1020" s="14">
        <f>297.66</f>
        <v>297.66000000000003</v>
      </c>
      <c r="E1020" s="14"/>
      <c r="F1020" s="14"/>
      <c r="G1020" s="14"/>
      <c r="H1020" s="14"/>
      <c r="I1020" s="14"/>
      <c r="J1020" s="14">
        <f t="shared" si="252"/>
        <v>297.66000000000003</v>
      </c>
      <c r="L1020" s="19"/>
    </row>
    <row r="1021" spans="1:12" x14ac:dyDescent="0.25">
      <c r="A1021" s="9" t="s">
        <v>15</v>
      </c>
      <c r="B1021" s="14"/>
      <c r="C1021" s="14"/>
      <c r="D1021" s="14">
        <v>1924.5</v>
      </c>
      <c r="E1021" s="14"/>
      <c r="F1021" s="14"/>
      <c r="G1021" s="14"/>
      <c r="H1021" s="14"/>
      <c r="I1021" s="14"/>
      <c r="J1021" s="14">
        <f t="shared" si="252"/>
        <v>1924.5</v>
      </c>
      <c r="L1021" s="19"/>
    </row>
    <row r="1022" spans="1:12" x14ac:dyDescent="0.25">
      <c r="A1022" s="9" t="s">
        <v>16</v>
      </c>
      <c r="B1022" s="14"/>
      <c r="C1022" s="14"/>
      <c r="D1022" s="14"/>
      <c r="E1022" s="14"/>
      <c r="F1022" s="14"/>
      <c r="G1022" s="14"/>
      <c r="H1022" s="14"/>
      <c r="I1022" s="14"/>
      <c r="J1022" s="14">
        <f t="shared" si="252"/>
        <v>0</v>
      </c>
      <c r="L1022" s="19"/>
    </row>
    <row r="1023" spans="1:12" x14ac:dyDescent="0.25">
      <c r="A1023" s="9" t="s">
        <v>17</v>
      </c>
      <c r="B1023" s="14"/>
      <c r="C1023" s="14"/>
      <c r="D1023" s="14"/>
      <c r="E1023" s="14"/>
      <c r="F1023" s="14"/>
      <c r="G1023" s="14"/>
      <c r="H1023" s="14"/>
      <c r="I1023" s="14"/>
      <c r="J1023" s="14">
        <f t="shared" si="252"/>
        <v>0</v>
      </c>
      <c r="L1023" s="19"/>
    </row>
    <row r="1024" spans="1:12" x14ac:dyDescent="0.25">
      <c r="A1024" s="9" t="s">
        <v>18</v>
      </c>
      <c r="B1024" s="14">
        <f>64.47+10.66</f>
        <v>75.13</v>
      </c>
      <c r="C1024" s="14"/>
      <c r="D1024" s="14"/>
      <c r="E1024" s="14"/>
      <c r="F1024" s="14"/>
      <c r="G1024" s="14"/>
      <c r="H1024" s="14"/>
      <c r="I1024" s="14"/>
      <c r="J1024" s="14">
        <f t="shared" si="252"/>
        <v>75.13</v>
      </c>
      <c r="L1024" s="19"/>
    </row>
    <row r="1025" spans="1:12" x14ac:dyDescent="0.25">
      <c r="A1025" s="9" t="s">
        <v>19</v>
      </c>
      <c r="B1025" s="14"/>
      <c r="C1025" s="14"/>
      <c r="D1025" s="14"/>
      <c r="E1025" s="14"/>
      <c r="F1025" s="14"/>
      <c r="G1025" s="14"/>
      <c r="H1025" s="14"/>
      <c r="I1025" s="14"/>
      <c r="J1025" s="14">
        <f t="shared" si="252"/>
        <v>0</v>
      </c>
      <c r="L1025" s="19"/>
    </row>
    <row r="1026" spans="1:12" x14ac:dyDescent="0.25">
      <c r="A1026" s="9" t="s">
        <v>20</v>
      </c>
      <c r="B1026" s="14"/>
      <c r="C1026" s="14"/>
      <c r="D1026" s="14"/>
      <c r="E1026" s="14"/>
      <c r="F1026" s="14"/>
      <c r="G1026" s="14"/>
      <c r="H1026" s="14"/>
      <c r="I1026" s="14"/>
      <c r="J1026" s="14">
        <f t="shared" si="252"/>
        <v>0</v>
      </c>
      <c r="L1026" s="19"/>
    </row>
    <row r="1027" spans="1:12" x14ac:dyDescent="0.25">
      <c r="A1027" s="5" t="s">
        <v>21</v>
      </c>
      <c r="B1027" s="14">
        <f t="shared" ref="B1027:I1027" si="253">SUM(B1017:B1026)</f>
        <v>75.13</v>
      </c>
      <c r="C1027" s="14">
        <f t="shared" si="253"/>
        <v>0</v>
      </c>
      <c r="D1027" s="14">
        <f t="shared" si="253"/>
        <v>52870.460000000006</v>
      </c>
      <c r="E1027" s="14">
        <f t="shared" si="253"/>
        <v>215.16</v>
      </c>
      <c r="F1027" s="14">
        <f t="shared" si="253"/>
        <v>0</v>
      </c>
      <c r="G1027" s="14">
        <f t="shared" si="253"/>
        <v>0</v>
      </c>
      <c r="H1027" s="14">
        <f t="shared" si="253"/>
        <v>0</v>
      </c>
      <c r="I1027" s="14">
        <f t="shared" si="253"/>
        <v>0</v>
      </c>
      <c r="J1027" s="14">
        <f t="shared" si="252"/>
        <v>53160.750000000007</v>
      </c>
      <c r="L1027" s="19"/>
    </row>
    <row r="1028" spans="1:12" x14ac:dyDescent="0.25">
      <c r="A1028" s="9" t="s">
        <v>22</v>
      </c>
      <c r="B1028" s="14"/>
      <c r="C1028" s="14"/>
      <c r="D1028" s="14"/>
      <c r="E1028" s="14"/>
      <c r="F1028" s="14"/>
      <c r="G1028" s="14"/>
      <c r="H1028" s="14"/>
      <c r="I1028" s="14"/>
      <c r="J1028" s="14">
        <f t="shared" si="252"/>
        <v>0</v>
      </c>
      <c r="L1028" s="19"/>
    </row>
    <row r="1029" spans="1:12" x14ac:dyDescent="0.25">
      <c r="A1029" s="9" t="s">
        <v>23</v>
      </c>
      <c r="B1029" s="14"/>
      <c r="C1029" s="14"/>
      <c r="D1029" s="14"/>
      <c r="E1029" s="14"/>
      <c r="F1029" s="14"/>
      <c r="G1029" s="14"/>
      <c r="H1029" s="14"/>
      <c r="I1029" s="14"/>
      <c r="J1029" s="14">
        <f t="shared" si="252"/>
        <v>0</v>
      </c>
      <c r="L1029" s="19"/>
    </row>
    <row r="1030" spans="1:12" x14ac:dyDescent="0.25">
      <c r="A1030" s="5" t="s">
        <v>42</v>
      </c>
      <c r="B1030" s="14">
        <f t="shared" ref="B1030:J1030" si="254">SUM(B1028:B1029)</f>
        <v>0</v>
      </c>
      <c r="C1030" s="14">
        <f t="shared" si="254"/>
        <v>0</v>
      </c>
      <c r="D1030" s="14">
        <f t="shared" si="254"/>
        <v>0</v>
      </c>
      <c r="E1030" s="14">
        <f t="shared" si="254"/>
        <v>0</v>
      </c>
      <c r="F1030" s="14">
        <f t="shared" si="254"/>
        <v>0</v>
      </c>
      <c r="G1030" s="14">
        <f t="shared" si="254"/>
        <v>0</v>
      </c>
      <c r="H1030" s="14">
        <f t="shared" si="254"/>
        <v>0</v>
      </c>
      <c r="I1030" s="14">
        <f t="shared" si="254"/>
        <v>0</v>
      </c>
      <c r="J1030" s="14">
        <f t="shared" si="254"/>
        <v>0</v>
      </c>
      <c r="L1030" s="19"/>
    </row>
    <row r="1031" spans="1:12" x14ac:dyDescent="0.25">
      <c r="A1031" s="5" t="s">
        <v>24</v>
      </c>
      <c r="B1031" s="14">
        <f t="shared" ref="B1031:J1031" si="255">B1027+B1030</f>
        <v>75.13</v>
      </c>
      <c r="C1031" s="14">
        <f t="shared" si="255"/>
        <v>0</v>
      </c>
      <c r="D1031" s="14">
        <f t="shared" si="255"/>
        <v>52870.460000000006</v>
      </c>
      <c r="E1031" s="14">
        <f t="shared" si="255"/>
        <v>215.16</v>
      </c>
      <c r="F1031" s="14">
        <f t="shared" si="255"/>
        <v>0</v>
      </c>
      <c r="G1031" s="14">
        <f t="shared" si="255"/>
        <v>0</v>
      </c>
      <c r="H1031" s="14">
        <f t="shared" si="255"/>
        <v>0</v>
      </c>
      <c r="I1031" s="14">
        <f t="shared" si="255"/>
        <v>0</v>
      </c>
      <c r="J1031" s="14">
        <f t="shared" si="255"/>
        <v>53160.750000000007</v>
      </c>
      <c r="L1031" s="19"/>
    </row>
    <row r="1032" spans="1:12" x14ac:dyDescent="0.25">
      <c r="A1032" s="10" t="s">
        <v>94</v>
      </c>
      <c r="B1032" s="14"/>
      <c r="C1032" s="14"/>
      <c r="D1032" s="14"/>
      <c r="E1032" s="14"/>
      <c r="F1032" s="14"/>
      <c r="G1032" s="14"/>
      <c r="H1032" s="14"/>
      <c r="I1032" s="14"/>
      <c r="J1032" s="14"/>
      <c r="L1032" s="19"/>
    </row>
    <row r="1033" spans="1:12" x14ac:dyDescent="0.25">
      <c r="A1033" s="9" t="s">
        <v>11</v>
      </c>
      <c r="B1033" s="14"/>
      <c r="C1033" s="14"/>
      <c r="D1033" s="14">
        <f>38465.43+6400.66+1200</f>
        <v>46066.09</v>
      </c>
      <c r="E1033" s="14"/>
      <c r="F1033" s="14"/>
      <c r="G1033" s="14"/>
      <c r="H1033" s="14"/>
      <c r="I1033" s="14"/>
      <c r="J1033" s="14">
        <f t="shared" ref="J1033:J1045" si="256">SUM(B1033:I1033)</f>
        <v>46066.09</v>
      </c>
      <c r="L1033" s="19"/>
    </row>
    <row r="1034" spans="1:12" x14ac:dyDescent="0.25">
      <c r="A1034" s="9" t="s">
        <v>12</v>
      </c>
      <c r="B1034" s="14"/>
      <c r="C1034" s="14"/>
      <c r="D1034" s="14"/>
      <c r="E1034" s="14">
        <v>215.16</v>
      </c>
      <c r="F1034" s="14"/>
      <c r="G1034" s="14"/>
      <c r="H1034" s="14"/>
      <c r="I1034" s="14"/>
      <c r="J1034" s="14">
        <f t="shared" si="256"/>
        <v>215.16</v>
      </c>
      <c r="L1034" s="19"/>
    </row>
    <row r="1035" spans="1:12" x14ac:dyDescent="0.25">
      <c r="A1035" s="9" t="s">
        <v>13</v>
      </c>
      <c r="B1035" s="14"/>
      <c r="C1035" s="14"/>
      <c r="D1035" s="14"/>
      <c r="E1035" s="14"/>
      <c r="F1035" s="14"/>
      <c r="G1035" s="14"/>
      <c r="H1035" s="14"/>
      <c r="I1035" s="14"/>
      <c r="J1035" s="14">
        <f t="shared" si="256"/>
        <v>0</v>
      </c>
      <c r="L1035" s="19"/>
    </row>
    <row r="1036" spans="1:12" x14ac:dyDescent="0.25">
      <c r="A1036" s="9" t="s">
        <v>14</v>
      </c>
      <c r="B1036" s="14"/>
      <c r="C1036" s="14"/>
      <c r="D1036" s="14"/>
      <c r="E1036" s="14"/>
      <c r="F1036" s="14"/>
      <c r="G1036" s="14"/>
      <c r="H1036" s="14"/>
      <c r="I1036" s="14"/>
      <c r="J1036" s="14">
        <f t="shared" si="256"/>
        <v>0</v>
      </c>
      <c r="L1036" s="19"/>
    </row>
    <row r="1037" spans="1:12" x14ac:dyDescent="0.25">
      <c r="A1037" s="9" t="s">
        <v>15</v>
      </c>
      <c r="B1037" s="14"/>
      <c r="C1037" s="14"/>
      <c r="D1037" s="14"/>
      <c r="E1037" s="14"/>
      <c r="F1037" s="14"/>
      <c r="G1037" s="14"/>
      <c r="H1037" s="14"/>
      <c r="I1037" s="14"/>
      <c r="J1037" s="14">
        <f t="shared" si="256"/>
        <v>0</v>
      </c>
      <c r="L1037" s="19"/>
    </row>
    <row r="1038" spans="1:12" x14ac:dyDescent="0.25">
      <c r="A1038" s="9" t="s">
        <v>16</v>
      </c>
      <c r="B1038" s="14"/>
      <c r="C1038" s="14"/>
      <c r="D1038" s="14"/>
      <c r="E1038" s="14"/>
      <c r="F1038" s="14"/>
      <c r="G1038" s="14"/>
      <c r="H1038" s="14"/>
      <c r="I1038" s="14"/>
      <c r="J1038" s="14">
        <f t="shared" si="256"/>
        <v>0</v>
      </c>
      <c r="L1038" s="19"/>
    </row>
    <row r="1039" spans="1:12" x14ac:dyDescent="0.25">
      <c r="A1039" s="9" t="s">
        <v>17</v>
      </c>
      <c r="B1039" s="14"/>
      <c r="C1039" s="14"/>
      <c r="D1039" s="14"/>
      <c r="E1039" s="14"/>
      <c r="F1039" s="14"/>
      <c r="G1039" s="14"/>
      <c r="H1039" s="14"/>
      <c r="I1039" s="14"/>
      <c r="J1039" s="14">
        <f t="shared" si="256"/>
        <v>0</v>
      </c>
      <c r="L1039" s="19"/>
    </row>
    <row r="1040" spans="1:12" x14ac:dyDescent="0.25">
      <c r="A1040" s="9" t="s">
        <v>18</v>
      </c>
      <c r="B1040" s="14"/>
      <c r="C1040" s="14"/>
      <c r="D1040" s="14"/>
      <c r="E1040" s="14"/>
      <c r="F1040" s="14"/>
      <c r="G1040" s="14"/>
      <c r="H1040" s="14"/>
      <c r="I1040" s="14"/>
      <c r="J1040" s="14">
        <f t="shared" si="256"/>
        <v>0</v>
      </c>
      <c r="L1040" s="19"/>
    </row>
    <row r="1041" spans="1:12" x14ac:dyDescent="0.25">
      <c r="A1041" s="9" t="s">
        <v>19</v>
      </c>
      <c r="B1041" s="14"/>
      <c r="C1041" s="14"/>
      <c r="D1041" s="14"/>
      <c r="E1041" s="14"/>
      <c r="F1041" s="14"/>
      <c r="G1041" s="14"/>
      <c r="H1041" s="14"/>
      <c r="I1041" s="14"/>
      <c r="J1041" s="14">
        <f t="shared" si="256"/>
        <v>0</v>
      </c>
      <c r="L1041" s="19"/>
    </row>
    <row r="1042" spans="1:12" x14ac:dyDescent="0.25">
      <c r="A1042" s="9" t="s">
        <v>20</v>
      </c>
      <c r="B1042" s="14"/>
      <c r="C1042" s="14"/>
      <c r="D1042" s="14"/>
      <c r="E1042" s="14"/>
      <c r="F1042" s="14"/>
      <c r="G1042" s="14"/>
      <c r="H1042" s="14"/>
      <c r="I1042" s="14"/>
      <c r="J1042" s="14">
        <f t="shared" si="256"/>
        <v>0</v>
      </c>
      <c r="L1042" s="19"/>
    </row>
    <row r="1043" spans="1:12" x14ac:dyDescent="0.25">
      <c r="A1043" s="5" t="s">
        <v>21</v>
      </c>
      <c r="B1043" s="14">
        <f t="shared" ref="B1043:I1043" si="257">SUM(B1033:B1042)</f>
        <v>0</v>
      </c>
      <c r="C1043" s="14">
        <f t="shared" si="257"/>
        <v>0</v>
      </c>
      <c r="D1043" s="14">
        <f t="shared" si="257"/>
        <v>46066.09</v>
      </c>
      <c r="E1043" s="14">
        <f t="shared" si="257"/>
        <v>215.16</v>
      </c>
      <c r="F1043" s="14">
        <f t="shared" si="257"/>
        <v>0</v>
      </c>
      <c r="G1043" s="14">
        <f t="shared" si="257"/>
        <v>0</v>
      </c>
      <c r="H1043" s="14">
        <f t="shared" si="257"/>
        <v>0</v>
      </c>
      <c r="I1043" s="14">
        <f t="shared" si="257"/>
        <v>0</v>
      </c>
      <c r="J1043" s="14">
        <f t="shared" si="256"/>
        <v>46281.25</v>
      </c>
      <c r="L1043" s="19"/>
    </row>
    <row r="1044" spans="1:12" x14ac:dyDescent="0.25">
      <c r="A1044" s="9" t="s">
        <v>22</v>
      </c>
      <c r="B1044" s="14"/>
      <c r="C1044" s="14"/>
      <c r="D1044" s="14"/>
      <c r="E1044" s="14"/>
      <c r="F1044" s="14"/>
      <c r="G1044" s="14"/>
      <c r="H1044" s="14"/>
      <c r="I1044" s="14"/>
      <c r="J1044" s="14">
        <f t="shared" si="256"/>
        <v>0</v>
      </c>
      <c r="L1044" s="19"/>
    </row>
    <row r="1045" spans="1:12" x14ac:dyDescent="0.25">
      <c r="A1045" s="9" t="s">
        <v>23</v>
      </c>
      <c r="B1045" s="14"/>
      <c r="C1045" s="14"/>
      <c r="D1045" s="14"/>
      <c r="E1045" s="14"/>
      <c r="F1045" s="14"/>
      <c r="G1045" s="14"/>
      <c r="H1045" s="14"/>
      <c r="I1045" s="14"/>
      <c r="J1045" s="14">
        <f t="shared" si="256"/>
        <v>0</v>
      </c>
      <c r="L1045" s="19"/>
    </row>
    <row r="1046" spans="1:12" x14ac:dyDescent="0.25">
      <c r="A1046" s="5" t="s">
        <v>42</v>
      </c>
      <c r="B1046" s="14">
        <f t="shared" ref="B1046:J1046" si="258">SUM(B1044:B1045)</f>
        <v>0</v>
      </c>
      <c r="C1046" s="14">
        <f t="shared" si="258"/>
        <v>0</v>
      </c>
      <c r="D1046" s="14">
        <f t="shared" si="258"/>
        <v>0</v>
      </c>
      <c r="E1046" s="14">
        <f t="shared" si="258"/>
        <v>0</v>
      </c>
      <c r="F1046" s="14">
        <f t="shared" si="258"/>
        <v>0</v>
      </c>
      <c r="G1046" s="14">
        <f t="shared" si="258"/>
        <v>0</v>
      </c>
      <c r="H1046" s="14">
        <f t="shared" si="258"/>
        <v>0</v>
      </c>
      <c r="I1046" s="14">
        <f t="shared" si="258"/>
        <v>0</v>
      </c>
      <c r="J1046" s="14">
        <f t="shared" si="258"/>
        <v>0</v>
      </c>
      <c r="L1046" s="19"/>
    </row>
    <row r="1047" spans="1:12" x14ac:dyDescent="0.25">
      <c r="A1047" s="5" t="s">
        <v>24</v>
      </c>
      <c r="B1047" s="14">
        <f t="shared" ref="B1047:J1047" si="259">B1043+B1046</f>
        <v>0</v>
      </c>
      <c r="C1047" s="14">
        <f t="shared" si="259"/>
        <v>0</v>
      </c>
      <c r="D1047" s="14">
        <f t="shared" si="259"/>
        <v>46066.09</v>
      </c>
      <c r="E1047" s="14">
        <f t="shared" si="259"/>
        <v>215.16</v>
      </c>
      <c r="F1047" s="14">
        <f t="shared" si="259"/>
        <v>0</v>
      </c>
      <c r="G1047" s="14">
        <f t="shared" si="259"/>
        <v>0</v>
      </c>
      <c r="H1047" s="14">
        <f t="shared" si="259"/>
        <v>0</v>
      </c>
      <c r="I1047" s="14">
        <f t="shared" si="259"/>
        <v>0</v>
      </c>
      <c r="J1047" s="14">
        <f t="shared" si="259"/>
        <v>46281.25</v>
      </c>
      <c r="L1047" s="19"/>
    </row>
    <row r="1048" spans="1:12" x14ac:dyDescent="0.25">
      <c r="A1048" s="10" t="s">
        <v>95</v>
      </c>
      <c r="B1048" s="14"/>
      <c r="C1048" s="14"/>
      <c r="D1048" s="14"/>
      <c r="E1048" s="14"/>
      <c r="F1048" s="14"/>
      <c r="G1048" s="14"/>
      <c r="H1048" s="14"/>
      <c r="I1048" s="14"/>
      <c r="J1048" s="14"/>
      <c r="L1048" s="19"/>
    </row>
    <row r="1049" spans="1:12" x14ac:dyDescent="0.25">
      <c r="A1049" s="9" t="s">
        <v>11</v>
      </c>
      <c r="B1049" s="14"/>
      <c r="C1049" s="14"/>
      <c r="D1049" s="14">
        <f>46446.82+9461.64+9461.64</f>
        <v>65370.1</v>
      </c>
      <c r="E1049" s="14"/>
      <c r="F1049" s="14"/>
      <c r="G1049" s="14"/>
      <c r="H1049" s="14"/>
      <c r="I1049" s="14"/>
      <c r="J1049" s="14">
        <f t="shared" ref="J1049:J1061" si="260">SUM(B1049:I1049)</f>
        <v>65370.1</v>
      </c>
      <c r="L1049" s="19"/>
    </row>
    <row r="1050" spans="1:12" x14ac:dyDescent="0.25">
      <c r="A1050" s="9" t="s">
        <v>12</v>
      </c>
      <c r="B1050" s="14"/>
      <c r="C1050" s="14"/>
      <c r="D1050" s="14"/>
      <c r="E1050" s="14">
        <v>215.16</v>
      </c>
      <c r="F1050" s="14"/>
      <c r="G1050" s="14"/>
      <c r="H1050" s="14"/>
      <c r="I1050" s="14"/>
      <c r="J1050" s="14">
        <f t="shared" si="260"/>
        <v>215.16</v>
      </c>
      <c r="L1050" s="19"/>
    </row>
    <row r="1051" spans="1:12" x14ac:dyDescent="0.25">
      <c r="A1051" s="9" t="s">
        <v>13</v>
      </c>
      <c r="B1051" s="14"/>
      <c r="C1051" s="14"/>
      <c r="D1051" s="14"/>
      <c r="E1051" s="14"/>
      <c r="F1051" s="14"/>
      <c r="G1051" s="14"/>
      <c r="H1051" s="14"/>
      <c r="I1051" s="14"/>
      <c r="J1051" s="14">
        <f t="shared" si="260"/>
        <v>0</v>
      </c>
      <c r="L1051" s="19"/>
    </row>
    <row r="1052" spans="1:12" x14ac:dyDescent="0.25">
      <c r="A1052" s="9" t="s">
        <v>14</v>
      </c>
      <c r="B1052" s="14"/>
      <c r="C1052" s="14"/>
      <c r="D1052" s="14">
        <f>138.77</f>
        <v>138.77000000000001</v>
      </c>
      <c r="E1052" s="14"/>
      <c r="F1052" s="14"/>
      <c r="G1052" s="14"/>
      <c r="H1052" s="14"/>
      <c r="I1052" s="14"/>
      <c r="J1052" s="14">
        <f t="shared" si="260"/>
        <v>138.77000000000001</v>
      </c>
      <c r="L1052" s="19"/>
    </row>
    <row r="1053" spans="1:12" x14ac:dyDescent="0.25">
      <c r="A1053" s="9" t="s">
        <v>15</v>
      </c>
      <c r="B1053" s="14"/>
      <c r="C1053" s="14"/>
      <c r="D1053" s="14"/>
      <c r="E1053" s="14"/>
      <c r="F1053" s="14"/>
      <c r="G1053" s="14"/>
      <c r="H1053" s="14"/>
      <c r="I1053" s="14"/>
      <c r="J1053" s="14">
        <f t="shared" si="260"/>
        <v>0</v>
      </c>
      <c r="L1053" s="19"/>
    </row>
    <row r="1054" spans="1:12" x14ac:dyDescent="0.25">
      <c r="A1054" s="9" t="s">
        <v>16</v>
      </c>
      <c r="B1054" s="14"/>
      <c r="C1054" s="14"/>
      <c r="D1054" s="14"/>
      <c r="E1054" s="14"/>
      <c r="F1054" s="14"/>
      <c r="G1054" s="14"/>
      <c r="H1054" s="14"/>
      <c r="I1054" s="14"/>
      <c r="J1054" s="14">
        <f t="shared" si="260"/>
        <v>0</v>
      </c>
      <c r="L1054" s="19"/>
    </row>
    <row r="1055" spans="1:12" x14ac:dyDescent="0.25">
      <c r="A1055" s="9" t="s">
        <v>17</v>
      </c>
      <c r="B1055" s="14"/>
      <c r="C1055" s="14"/>
      <c r="D1055" s="14"/>
      <c r="E1055" s="14"/>
      <c r="F1055" s="14"/>
      <c r="G1055" s="14"/>
      <c r="H1055" s="14"/>
      <c r="I1055" s="14"/>
      <c r="J1055" s="14">
        <f t="shared" si="260"/>
        <v>0</v>
      </c>
      <c r="L1055" s="19"/>
    </row>
    <row r="1056" spans="1:12" x14ac:dyDescent="0.25">
      <c r="A1056" s="9" t="s">
        <v>18</v>
      </c>
      <c r="B1056" s="14">
        <f>107.45+17.83</f>
        <v>125.28</v>
      </c>
      <c r="C1056" s="14"/>
      <c r="D1056" s="14"/>
      <c r="E1056" s="14"/>
      <c r="F1056" s="14"/>
      <c r="G1056" s="14"/>
      <c r="H1056" s="14"/>
      <c r="I1056" s="14"/>
      <c r="J1056" s="14">
        <f t="shared" si="260"/>
        <v>125.28</v>
      </c>
      <c r="L1056" s="19"/>
    </row>
    <row r="1057" spans="1:12" x14ac:dyDescent="0.25">
      <c r="A1057" s="9" t="s">
        <v>19</v>
      </c>
      <c r="B1057" s="14"/>
      <c r="C1057" s="14"/>
      <c r="D1057" s="14"/>
      <c r="E1057" s="14"/>
      <c r="F1057" s="14"/>
      <c r="G1057" s="14"/>
      <c r="H1057" s="14"/>
      <c r="I1057" s="14"/>
      <c r="J1057" s="14">
        <f t="shared" si="260"/>
        <v>0</v>
      </c>
      <c r="L1057" s="19"/>
    </row>
    <row r="1058" spans="1:12" x14ac:dyDescent="0.25">
      <c r="A1058" s="9" t="s">
        <v>20</v>
      </c>
      <c r="B1058" s="14"/>
      <c r="C1058" s="14"/>
      <c r="D1058" s="14"/>
      <c r="E1058" s="14"/>
      <c r="F1058" s="14"/>
      <c r="G1058" s="14"/>
      <c r="H1058" s="14"/>
      <c r="I1058" s="14"/>
      <c r="J1058" s="14">
        <f t="shared" si="260"/>
        <v>0</v>
      </c>
      <c r="L1058" s="19"/>
    </row>
    <row r="1059" spans="1:12" x14ac:dyDescent="0.25">
      <c r="A1059" s="5" t="s">
        <v>21</v>
      </c>
      <c r="B1059" s="14">
        <f t="shared" ref="B1059:I1059" si="261">SUM(B1049:B1058)</f>
        <v>125.28</v>
      </c>
      <c r="C1059" s="14">
        <f t="shared" si="261"/>
        <v>0</v>
      </c>
      <c r="D1059" s="14">
        <f t="shared" si="261"/>
        <v>65508.869999999995</v>
      </c>
      <c r="E1059" s="14">
        <f t="shared" si="261"/>
        <v>215.16</v>
      </c>
      <c r="F1059" s="14">
        <f t="shared" si="261"/>
        <v>0</v>
      </c>
      <c r="G1059" s="14">
        <f t="shared" si="261"/>
        <v>0</v>
      </c>
      <c r="H1059" s="14">
        <f t="shared" si="261"/>
        <v>0</v>
      </c>
      <c r="I1059" s="14">
        <f t="shared" si="261"/>
        <v>0</v>
      </c>
      <c r="J1059" s="14">
        <f t="shared" si="260"/>
        <v>65849.31</v>
      </c>
      <c r="L1059" s="19"/>
    </row>
    <row r="1060" spans="1:12" x14ac:dyDescent="0.25">
      <c r="A1060" s="9" t="s">
        <v>22</v>
      </c>
      <c r="B1060" s="14"/>
      <c r="C1060" s="14"/>
      <c r="D1060" s="14"/>
      <c r="E1060" s="14"/>
      <c r="F1060" s="14"/>
      <c r="G1060" s="14"/>
      <c r="H1060" s="14"/>
      <c r="I1060" s="14"/>
      <c r="J1060" s="14">
        <f t="shared" si="260"/>
        <v>0</v>
      </c>
      <c r="L1060" s="19"/>
    </row>
    <row r="1061" spans="1:12" x14ac:dyDescent="0.25">
      <c r="A1061" s="9" t="s">
        <v>23</v>
      </c>
      <c r="B1061" s="14"/>
      <c r="C1061" s="14"/>
      <c r="D1061" s="14"/>
      <c r="E1061" s="14"/>
      <c r="F1061" s="14"/>
      <c r="G1061" s="14"/>
      <c r="H1061" s="14"/>
      <c r="I1061" s="14"/>
      <c r="J1061" s="14">
        <f t="shared" si="260"/>
        <v>0</v>
      </c>
      <c r="L1061" s="19"/>
    </row>
    <row r="1062" spans="1:12" x14ac:dyDescent="0.25">
      <c r="A1062" s="5" t="s">
        <v>42</v>
      </c>
      <c r="B1062" s="14">
        <f t="shared" ref="B1062:J1062" si="262">SUM(B1060:B1061)</f>
        <v>0</v>
      </c>
      <c r="C1062" s="14">
        <f t="shared" si="262"/>
        <v>0</v>
      </c>
      <c r="D1062" s="14">
        <f t="shared" si="262"/>
        <v>0</v>
      </c>
      <c r="E1062" s="14">
        <f t="shared" si="262"/>
        <v>0</v>
      </c>
      <c r="F1062" s="14">
        <f t="shared" si="262"/>
        <v>0</v>
      </c>
      <c r="G1062" s="14">
        <f t="shared" si="262"/>
        <v>0</v>
      </c>
      <c r="H1062" s="14">
        <f t="shared" si="262"/>
        <v>0</v>
      </c>
      <c r="I1062" s="14">
        <f t="shared" si="262"/>
        <v>0</v>
      </c>
      <c r="J1062" s="14">
        <f t="shared" si="262"/>
        <v>0</v>
      </c>
      <c r="L1062" s="19"/>
    </row>
    <row r="1063" spans="1:12" x14ac:dyDescent="0.25">
      <c r="A1063" s="5" t="s">
        <v>24</v>
      </c>
      <c r="B1063" s="14">
        <f t="shared" ref="B1063:J1063" si="263">B1059+B1062</f>
        <v>125.28</v>
      </c>
      <c r="C1063" s="14">
        <f t="shared" si="263"/>
        <v>0</v>
      </c>
      <c r="D1063" s="14">
        <f t="shared" si="263"/>
        <v>65508.869999999995</v>
      </c>
      <c r="E1063" s="14">
        <f t="shared" si="263"/>
        <v>215.16</v>
      </c>
      <c r="F1063" s="14">
        <f t="shared" si="263"/>
        <v>0</v>
      </c>
      <c r="G1063" s="14">
        <f t="shared" si="263"/>
        <v>0</v>
      </c>
      <c r="H1063" s="14">
        <f t="shared" si="263"/>
        <v>0</v>
      </c>
      <c r="I1063" s="14">
        <f t="shared" si="263"/>
        <v>0</v>
      </c>
      <c r="J1063" s="14">
        <f t="shared" si="263"/>
        <v>65849.31</v>
      </c>
      <c r="L1063" s="19"/>
    </row>
    <row r="1064" spans="1:12" x14ac:dyDescent="0.25">
      <c r="A1064" s="16" t="s">
        <v>96</v>
      </c>
      <c r="B1064" s="14"/>
      <c r="C1064" s="14"/>
      <c r="D1064" s="14"/>
      <c r="E1064" s="14"/>
      <c r="F1064" s="14"/>
      <c r="G1064" s="14"/>
      <c r="H1064" s="14"/>
      <c r="I1064" s="14"/>
      <c r="J1064" s="14"/>
      <c r="L1064" s="19"/>
    </row>
    <row r="1065" spans="1:12" x14ac:dyDescent="0.25">
      <c r="A1065" s="9" t="s">
        <v>11</v>
      </c>
      <c r="B1065" s="14"/>
      <c r="C1065" s="14"/>
      <c r="D1065" s="14">
        <f>590403.81+86838.28+86838.28</f>
        <v>764080.37000000011</v>
      </c>
      <c r="E1065" s="14"/>
      <c r="F1065" s="14"/>
      <c r="G1065" s="14"/>
      <c r="H1065" s="14"/>
      <c r="I1065" s="14"/>
      <c r="J1065" s="14">
        <f t="shared" ref="J1065:J1074" si="264">SUM(B1065:I1065)</f>
        <v>764080.37000000011</v>
      </c>
      <c r="L1065" s="19"/>
    </row>
    <row r="1066" spans="1:12" x14ac:dyDescent="0.25">
      <c r="A1066" s="9" t="s">
        <v>12</v>
      </c>
      <c r="B1066" s="14"/>
      <c r="C1066" s="14"/>
      <c r="D1066" s="14">
        <f>780+1104.16+1104.24+216.18+700+795+229.41+2650+757.92+15.08+120+412.95+3836.54+3836.54+4070.35+137.64</f>
        <v>20766.009999999998</v>
      </c>
      <c r="E1066" s="14">
        <f>20000+9560+20000+215.16</f>
        <v>49775.16</v>
      </c>
      <c r="F1066" s="14"/>
      <c r="G1066" s="14">
        <f>4902.5</f>
        <v>4902.5</v>
      </c>
      <c r="H1066" s="14"/>
      <c r="I1066" s="14"/>
      <c r="J1066" s="14">
        <f t="shared" si="264"/>
        <v>75443.67</v>
      </c>
      <c r="L1066" s="19"/>
    </row>
    <row r="1067" spans="1:12" x14ac:dyDescent="0.25">
      <c r="A1067" s="9" t="s">
        <v>13</v>
      </c>
      <c r="B1067" s="14">
        <v>10543.15</v>
      </c>
      <c r="C1067" s="14"/>
      <c r="D1067" s="14">
        <v>1000.42</v>
      </c>
      <c r="E1067" s="14"/>
      <c r="F1067" s="14"/>
      <c r="G1067" s="14">
        <v>13879.9</v>
      </c>
      <c r="H1067" s="14"/>
      <c r="I1067" s="14"/>
      <c r="J1067" s="14">
        <f t="shared" si="264"/>
        <v>25423.47</v>
      </c>
      <c r="L1067" s="19"/>
    </row>
    <row r="1068" spans="1:12" x14ac:dyDescent="0.25">
      <c r="A1068" s="9" t="s">
        <v>14</v>
      </c>
      <c r="B1068" s="14"/>
      <c r="C1068" s="14"/>
      <c r="D1068" s="14">
        <f>4781.64+446+998.62</f>
        <v>6226.26</v>
      </c>
      <c r="E1068" s="14"/>
      <c r="F1068" s="14"/>
      <c r="G1068" s="14">
        <v>2137.5</v>
      </c>
      <c r="H1068" s="14"/>
      <c r="I1068" s="14"/>
      <c r="J1068" s="14">
        <f t="shared" si="264"/>
        <v>8363.76</v>
      </c>
      <c r="L1068" s="19"/>
    </row>
    <row r="1069" spans="1:12" x14ac:dyDescent="0.25">
      <c r="A1069" s="9" t="s">
        <v>15</v>
      </c>
      <c r="B1069" s="14"/>
      <c r="C1069" s="14"/>
      <c r="D1069" s="14">
        <v>3010.47</v>
      </c>
      <c r="E1069" s="14"/>
      <c r="F1069" s="14"/>
      <c r="G1069" s="14"/>
      <c r="H1069" s="14"/>
      <c r="I1069" s="14"/>
      <c r="J1069" s="14">
        <f t="shared" si="264"/>
        <v>3010.47</v>
      </c>
      <c r="L1069" s="19"/>
    </row>
    <row r="1070" spans="1:12" x14ac:dyDescent="0.25">
      <c r="A1070" s="9" t="s">
        <v>16</v>
      </c>
      <c r="B1070" s="14"/>
      <c r="C1070" s="14"/>
      <c r="D1070" s="14"/>
      <c r="E1070" s="14"/>
      <c r="F1070" s="14"/>
      <c r="G1070" s="14"/>
      <c r="H1070" s="14"/>
      <c r="I1070" s="14"/>
      <c r="J1070" s="14">
        <f t="shared" si="264"/>
        <v>0</v>
      </c>
      <c r="L1070" s="19"/>
    </row>
    <row r="1071" spans="1:12" x14ac:dyDescent="0.25">
      <c r="A1071" s="9" t="s">
        <v>17</v>
      </c>
      <c r="B1071" s="14"/>
      <c r="C1071" s="14"/>
      <c r="D1071" s="14"/>
      <c r="E1071" s="14"/>
      <c r="F1071" s="14"/>
      <c r="G1071" s="14"/>
      <c r="H1071" s="14"/>
      <c r="I1071" s="14"/>
      <c r="J1071" s="14">
        <f t="shared" si="264"/>
        <v>0</v>
      </c>
      <c r="L1071" s="19"/>
    </row>
    <row r="1072" spans="1:12" x14ac:dyDescent="0.25">
      <c r="A1072" s="9" t="s">
        <v>18</v>
      </c>
      <c r="B1072" s="14"/>
      <c r="C1072" s="14"/>
      <c r="D1072" s="14"/>
      <c r="E1072" s="14"/>
      <c r="F1072" s="14"/>
      <c r="G1072" s="14"/>
      <c r="H1072" s="14"/>
      <c r="I1072" s="14"/>
      <c r="J1072" s="14">
        <f t="shared" si="264"/>
        <v>0</v>
      </c>
      <c r="L1072" s="19"/>
    </row>
    <row r="1073" spans="1:12" x14ac:dyDescent="0.25">
      <c r="A1073" s="9" t="s">
        <v>19</v>
      </c>
      <c r="B1073" s="14"/>
      <c r="C1073" s="14"/>
      <c r="D1073" s="14"/>
      <c r="E1073" s="14"/>
      <c r="F1073" s="14"/>
      <c r="G1073" s="14"/>
      <c r="H1073" s="14"/>
      <c r="I1073" s="14"/>
      <c r="J1073" s="14">
        <f t="shared" si="264"/>
        <v>0</v>
      </c>
      <c r="L1073" s="19"/>
    </row>
    <row r="1074" spans="1:12" x14ac:dyDescent="0.25">
      <c r="A1074" s="9" t="s">
        <v>20</v>
      </c>
      <c r="B1074" s="14"/>
      <c r="C1074" s="14"/>
      <c r="D1074" s="14"/>
      <c r="E1074" s="14"/>
      <c r="F1074" s="14"/>
      <c r="G1074" s="14"/>
      <c r="H1074" s="14"/>
      <c r="I1074" s="14"/>
      <c r="J1074" s="14">
        <f t="shared" si="264"/>
        <v>0</v>
      </c>
      <c r="L1074" s="19"/>
    </row>
    <row r="1075" spans="1:12" x14ac:dyDescent="0.25">
      <c r="A1075" s="9" t="s">
        <v>120</v>
      </c>
      <c r="B1075" s="14"/>
      <c r="C1075" s="14"/>
      <c r="D1075" s="14"/>
      <c r="E1075" s="14"/>
      <c r="F1075" s="14"/>
      <c r="G1075" s="14">
        <v>7862.5</v>
      </c>
      <c r="H1075" s="14"/>
      <c r="I1075" s="14"/>
      <c r="J1075" s="14"/>
      <c r="L1075" s="19"/>
    </row>
    <row r="1076" spans="1:12" x14ac:dyDescent="0.25">
      <c r="A1076" s="5" t="s">
        <v>21</v>
      </c>
      <c r="B1076" s="14">
        <f>SUM(B1065:B1074)</f>
        <v>10543.15</v>
      </c>
      <c r="C1076" s="14">
        <f>SUM(C1065:C1074)</f>
        <v>0</v>
      </c>
      <c r="D1076" s="14">
        <f>SUM(D1065:D1074)</f>
        <v>795083.53000000014</v>
      </c>
      <c r="E1076" s="14">
        <f>SUM(E1065:E1074)</f>
        <v>49775.16</v>
      </c>
      <c r="F1076" s="14">
        <f>SUM(F1065:F1074)</f>
        <v>0</v>
      </c>
      <c r="G1076" s="14">
        <f>SUM(G1065:G1075)</f>
        <v>28782.400000000001</v>
      </c>
      <c r="H1076" s="14">
        <f>SUM(H1065:H1074)</f>
        <v>0</v>
      </c>
      <c r="I1076" s="14">
        <f>SUM(I1065:I1074)</f>
        <v>0</v>
      </c>
      <c r="J1076" s="14">
        <f>SUM(B1076:I1076)</f>
        <v>884184.24000000022</v>
      </c>
      <c r="L1076" s="19"/>
    </row>
    <row r="1077" spans="1:12" x14ac:dyDescent="0.25">
      <c r="A1077" s="9" t="s">
        <v>22</v>
      </c>
      <c r="B1077" s="14"/>
      <c r="C1077" s="14"/>
      <c r="D1077" s="14">
        <v>214500</v>
      </c>
      <c r="E1077" s="14"/>
      <c r="F1077" s="14"/>
      <c r="G1077" s="14">
        <v>100000</v>
      </c>
      <c r="H1077" s="14"/>
      <c r="I1077" s="14"/>
      <c r="J1077" s="14">
        <f>SUM(B1077:I1077)</f>
        <v>314500</v>
      </c>
      <c r="L1077" s="19"/>
    </row>
    <row r="1078" spans="1:12" x14ac:dyDescent="0.25">
      <c r="A1078" s="9" t="s">
        <v>23</v>
      </c>
      <c r="B1078" s="14"/>
      <c r="C1078" s="14"/>
      <c r="D1078" s="14"/>
      <c r="E1078" s="14"/>
      <c r="F1078" s="14"/>
      <c r="G1078" s="14"/>
      <c r="H1078" s="14"/>
      <c r="I1078" s="14"/>
      <c r="J1078" s="14">
        <f>SUM(B1078:I1078)</f>
        <v>0</v>
      </c>
      <c r="L1078" s="19"/>
    </row>
    <row r="1079" spans="1:12" x14ac:dyDescent="0.25">
      <c r="A1079" s="5" t="s">
        <v>42</v>
      </c>
      <c r="B1079" s="14">
        <f t="shared" ref="B1079:J1079" si="265">SUM(B1077:B1078)</f>
        <v>0</v>
      </c>
      <c r="C1079" s="14">
        <f t="shared" si="265"/>
        <v>0</v>
      </c>
      <c r="D1079" s="14">
        <f t="shared" si="265"/>
        <v>214500</v>
      </c>
      <c r="E1079" s="14">
        <f t="shared" si="265"/>
        <v>0</v>
      </c>
      <c r="F1079" s="14">
        <f t="shared" si="265"/>
        <v>0</v>
      </c>
      <c r="G1079" s="14">
        <f t="shared" si="265"/>
        <v>100000</v>
      </c>
      <c r="H1079" s="14">
        <f t="shared" si="265"/>
        <v>0</v>
      </c>
      <c r="I1079" s="14">
        <f t="shared" si="265"/>
        <v>0</v>
      </c>
      <c r="J1079" s="14">
        <f t="shared" si="265"/>
        <v>314500</v>
      </c>
      <c r="L1079" s="19"/>
    </row>
    <row r="1080" spans="1:12" x14ac:dyDescent="0.25">
      <c r="A1080" s="5" t="s">
        <v>24</v>
      </c>
      <c r="B1080" s="14">
        <f t="shared" ref="B1080:J1080" si="266">B1076+B1079</f>
        <v>10543.15</v>
      </c>
      <c r="C1080" s="14">
        <f t="shared" si="266"/>
        <v>0</v>
      </c>
      <c r="D1080" s="14">
        <f t="shared" si="266"/>
        <v>1009583.5300000001</v>
      </c>
      <c r="E1080" s="14">
        <f t="shared" si="266"/>
        <v>49775.16</v>
      </c>
      <c r="F1080" s="14">
        <f t="shared" si="266"/>
        <v>0</v>
      </c>
      <c r="G1080" s="14">
        <f t="shared" si="266"/>
        <v>128782.39999999999</v>
      </c>
      <c r="H1080" s="14">
        <f t="shared" si="266"/>
        <v>0</v>
      </c>
      <c r="I1080" s="14">
        <f t="shared" si="266"/>
        <v>0</v>
      </c>
      <c r="J1080" s="14">
        <f t="shared" si="266"/>
        <v>1198684.2400000002</v>
      </c>
      <c r="L1080" s="19"/>
    </row>
    <row r="1081" spans="1:12" x14ac:dyDescent="0.25">
      <c r="A1081" s="10" t="s">
        <v>97</v>
      </c>
      <c r="B1081" s="14"/>
      <c r="C1081" s="14"/>
      <c r="D1081" s="14"/>
      <c r="E1081" s="14"/>
      <c r="F1081" s="14"/>
      <c r="G1081" s="14"/>
      <c r="H1081" s="14"/>
      <c r="I1081" s="14"/>
      <c r="J1081" s="14"/>
      <c r="L1081" s="19"/>
    </row>
    <row r="1082" spans="1:12" x14ac:dyDescent="0.25">
      <c r="A1082" s="9" t="s">
        <v>11</v>
      </c>
      <c r="B1082" s="14"/>
      <c r="C1082" s="14"/>
      <c r="D1082" s="14">
        <f>49807.79+7424.47+7424.47</f>
        <v>64656.73</v>
      </c>
      <c r="E1082" s="14"/>
      <c r="F1082" s="14"/>
      <c r="G1082" s="14"/>
      <c r="H1082" s="14"/>
      <c r="I1082" s="14"/>
      <c r="J1082" s="14">
        <f t="shared" ref="J1082:J1094" si="267">SUM(B1082:I1082)</f>
        <v>64656.73</v>
      </c>
      <c r="L1082" s="19"/>
    </row>
    <row r="1083" spans="1:12" x14ac:dyDescent="0.25">
      <c r="A1083" s="9" t="s">
        <v>12</v>
      </c>
      <c r="B1083" s="14"/>
      <c r="C1083" s="14"/>
      <c r="D1083" s="14">
        <v>399</v>
      </c>
      <c r="E1083" s="14">
        <v>215.16</v>
      </c>
      <c r="F1083" s="14"/>
      <c r="G1083" s="14"/>
      <c r="H1083" s="14"/>
      <c r="I1083" s="14"/>
      <c r="J1083" s="14">
        <f t="shared" si="267"/>
        <v>614.16</v>
      </c>
      <c r="L1083" s="19"/>
    </row>
    <row r="1084" spans="1:12" x14ac:dyDescent="0.25">
      <c r="A1084" s="9" t="s">
        <v>13</v>
      </c>
      <c r="B1084" s="14"/>
      <c r="C1084" s="14"/>
      <c r="D1084" s="14"/>
      <c r="E1084" s="14"/>
      <c r="F1084" s="14"/>
      <c r="G1084" s="14"/>
      <c r="H1084" s="14"/>
      <c r="I1084" s="14"/>
      <c r="J1084" s="14">
        <f t="shared" si="267"/>
        <v>0</v>
      </c>
      <c r="L1084" s="19"/>
    </row>
    <row r="1085" spans="1:12" x14ac:dyDescent="0.25">
      <c r="A1085" s="9" t="s">
        <v>14</v>
      </c>
      <c r="B1085" s="14"/>
      <c r="C1085" s="14"/>
      <c r="D1085" s="14">
        <f>297.66</f>
        <v>297.66000000000003</v>
      </c>
      <c r="E1085" s="14"/>
      <c r="F1085" s="14"/>
      <c r="G1085" s="14"/>
      <c r="H1085" s="14"/>
      <c r="I1085" s="14"/>
      <c r="J1085" s="14">
        <f t="shared" si="267"/>
        <v>297.66000000000003</v>
      </c>
      <c r="L1085" s="19"/>
    </row>
    <row r="1086" spans="1:12" x14ac:dyDescent="0.25">
      <c r="A1086" s="9" t="s">
        <v>15</v>
      </c>
      <c r="B1086" s="14"/>
      <c r="C1086" s="14"/>
      <c r="D1086" s="14"/>
      <c r="E1086" s="14"/>
      <c r="F1086" s="14"/>
      <c r="G1086" s="14"/>
      <c r="H1086" s="14"/>
      <c r="I1086" s="14"/>
      <c r="J1086" s="14">
        <f t="shared" si="267"/>
        <v>0</v>
      </c>
      <c r="L1086" s="19"/>
    </row>
    <row r="1087" spans="1:12" x14ac:dyDescent="0.25">
      <c r="A1087" s="9" t="s">
        <v>16</v>
      </c>
      <c r="B1087" s="14"/>
      <c r="C1087" s="14"/>
      <c r="D1087" s="14"/>
      <c r="E1087" s="14"/>
      <c r="F1087" s="14"/>
      <c r="G1087" s="14"/>
      <c r="H1087" s="14"/>
      <c r="I1087" s="14"/>
      <c r="J1087" s="14">
        <f t="shared" si="267"/>
        <v>0</v>
      </c>
      <c r="L1087" s="19"/>
    </row>
    <row r="1088" spans="1:12" x14ac:dyDescent="0.25">
      <c r="A1088" s="9" t="s">
        <v>17</v>
      </c>
      <c r="B1088" s="14"/>
      <c r="C1088" s="14"/>
      <c r="D1088" s="14"/>
      <c r="E1088" s="14"/>
      <c r="F1088" s="14"/>
      <c r="G1088" s="14"/>
      <c r="H1088" s="14"/>
      <c r="I1088" s="14"/>
      <c r="J1088" s="14">
        <f t="shared" si="267"/>
        <v>0</v>
      </c>
      <c r="L1088" s="19"/>
    </row>
    <row r="1089" spans="1:12" x14ac:dyDescent="0.25">
      <c r="A1089" s="9" t="s">
        <v>18</v>
      </c>
      <c r="B1089" s="14">
        <f>233.32+38.83</f>
        <v>272.14999999999998</v>
      </c>
      <c r="C1089" s="14"/>
      <c r="D1089" s="14"/>
      <c r="E1089" s="14"/>
      <c r="F1089" s="14"/>
      <c r="G1089" s="14"/>
      <c r="H1089" s="14"/>
      <c r="I1089" s="14"/>
      <c r="J1089" s="14">
        <f t="shared" si="267"/>
        <v>272.14999999999998</v>
      </c>
      <c r="L1089" s="19"/>
    </row>
    <row r="1090" spans="1:12" x14ac:dyDescent="0.25">
      <c r="A1090" s="9" t="s">
        <v>19</v>
      </c>
      <c r="B1090" s="14"/>
      <c r="C1090" s="14"/>
      <c r="D1090" s="14"/>
      <c r="E1090" s="14"/>
      <c r="F1090" s="14"/>
      <c r="G1090" s="14"/>
      <c r="H1090" s="14"/>
      <c r="I1090" s="14"/>
      <c r="J1090" s="14">
        <f t="shared" si="267"/>
        <v>0</v>
      </c>
      <c r="L1090" s="19"/>
    </row>
    <row r="1091" spans="1:12" x14ac:dyDescent="0.25">
      <c r="A1091" s="9" t="s">
        <v>20</v>
      </c>
      <c r="B1091" s="14"/>
      <c r="C1091" s="14"/>
      <c r="D1091" s="14"/>
      <c r="E1091" s="14"/>
      <c r="F1091" s="14"/>
      <c r="G1091" s="14"/>
      <c r="H1091" s="14"/>
      <c r="I1091" s="14"/>
      <c r="J1091" s="14">
        <f t="shared" si="267"/>
        <v>0</v>
      </c>
      <c r="L1091" s="19"/>
    </row>
    <row r="1092" spans="1:12" x14ac:dyDescent="0.25">
      <c r="A1092" s="5" t="s">
        <v>21</v>
      </c>
      <c r="B1092" s="14">
        <f t="shared" ref="B1092:I1092" si="268">SUM(B1082:B1091)</f>
        <v>272.14999999999998</v>
      </c>
      <c r="C1092" s="14">
        <f t="shared" si="268"/>
        <v>0</v>
      </c>
      <c r="D1092" s="14">
        <f t="shared" si="268"/>
        <v>65353.390000000007</v>
      </c>
      <c r="E1092" s="14">
        <f t="shared" si="268"/>
        <v>215.16</v>
      </c>
      <c r="F1092" s="14">
        <f t="shared" si="268"/>
        <v>0</v>
      </c>
      <c r="G1092" s="14">
        <f t="shared" si="268"/>
        <v>0</v>
      </c>
      <c r="H1092" s="14">
        <f t="shared" si="268"/>
        <v>0</v>
      </c>
      <c r="I1092" s="14">
        <f t="shared" si="268"/>
        <v>0</v>
      </c>
      <c r="J1092" s="14">
        <f t="shared" si="267"/>
        <v>65840.700000000012</v>
      </c>
      <c r="L1092" s="19"/>
    </row>
    <row r="1093" spans="1:12" x14ac:dyDescent="0.25">
      <c r="A1093" s="9" t="s">
        <v>22</v>
      </c>
      <c r="B1093" s="14"/>
      <c r="C1093" s="14"/>
      <c r="D1093" s="14"/>
      <c r="E1093" s="14"/>
      <c r="F1093" s="14"/>
      <c r="G1093" s="14"/>
      <c r="H1093" s="14"/>
      <c r="I1093" s="14"/>
      <c r="J1093" s="14">
        <f t="shared" si="267"/>
        <v>0</v>
      </c>
      <c r="L1093" s="19"/>
    </row>
    <row r="1094" spans="1:12" x14ac:dyDescent="0.25">
      <c r="A1094" s="9" t="s">
        <v>23</v>
      </c>
      <c r="B1094" s="14"/>
      <c r="C1094" s="14"/>
      <c r="D1094" s="14"/>
      <c r="E1094" s="14"/>
      <c r="F1094" s="14"/>
      <c r="G1094" s="14"/>
      <c r="H1094" s="14"/>
      <c r="I1094" s="14"/>
      <c r="J1094" s="14">
        <f t="shared" si="267"/>
        <v>0</v>
      </c>
      <c r="L1094" s="19"/>
    </row>
    <row r="1095" spans="1:12" x14ac:dyDescent="0.25">
      <c r="A1095" s="5" t="s">
        <v>42</v>
      </c>
      <c r="B1095" s="14">
        <f t="shared" ref="B1095:J1095" si="269">SUM(B1093:B1094)</f>
        <v>0</v>
      </c>
      <c r="C1095" s="14">
        <f t="shared" si="269"/>
        <v>0</v>
      </c>
      <c r="D1095" s="14">
        <f t="shared" si="269"/>
        <v>0</v>
      </c>
      <c r="E1095" s="14">
        <f t="shared" si="269"/>
        <v>0</v>
      </c>
      <c r="F1095" s="14">
        <f t="shared" si="269"/>
        <v>0</v>
      </c>
      <c r="G1095" s="14">
        <f t="shared" si="269"/>
        <v>0</v>
      </c>
      <c r="H1095" s="14">
        <f t="shared" si="269"/>
        <v>0</v>
      </c>
      <c r="I1095" s="14">
        <f t="shared" si="269"/>
        <v>0</v>
      </c>
      <c r="J1095" s="14">
        <f t="shared" si="269"/>
        <v>0</v>
      </c>
      <c r="L1095" s="19"/>
    </row>
    <row r="1096" spans="1:12" x14ac:dyDescent="0.25">
      <c r="A1096" s="5" t="s">
        <v>24</v>
      </c>
      <c r="B1096" s="14">
        <f t="shared" ref="B1096:J1096" si="270">B1092+B1095</f>
        <v>272.14999999999998</v>
      </c>
      <c r="C1096" s="14">
        <f t="shared" si="270"/>
        <v>0</v>
      </c>
      <c r="D1096" s="14">
        <f t="shared" si="270"/>
        <v>65353.390000000007</v>
      </c>
      <c r="E1096" s="14">
        <f t="shared" si="270"/>
        <v>215.16</v>
      </c>
      <c r="F1096" s="14">
        <f t="shared" si="270"/>
        <v>0</v>
      </c>
      <c r="G1096" s="14">
        <f t="shared" si="270"/>
        <v>0</v>
      </c>
      <c r="H1096" s="14">
        <f t="shared" si="270"/>
        <v>0</v>
      </c>
      <c r="I1096" s="14">
        <f t="shared" si="270"/>
        <v>0</v>
      </c>
      <c r="J1096" s="14">
        <f t="shared" si="270"/>
        <v>65840.700000000012</v>
      </c>
      <c r="L1096" s="19"/>
    </row>
    <row r="1097" spans="1:12" x14ac:dyDescent="0.25">
      <c r="A1097" s="10" t="s">
        <v>98</v>
      </c>
      <c r="B1097" s="14"/>
      <c r="C1097" s="14"/>
      <c r="D1097" s="14"/>
      <c r="E1097" s="14"/>
      <c r="F1097" s="14"/>
      <c r="G1097" s="14"/>
      <c r="H1097" s="14"/>
      <c r="I1097" s="14"/>
      <c r="J1097" s="14"/>
      <c r="L1097" s="19"/>
    </row>
    <row r="1098" spans="1:12" x14ac:dyDescent="0.25">
      <c r="A1098" s="9" t="s">
        <v>11</v>
      </c>
      <c r="B1098" s="14"/>
      <c r="C1098" s="14"/>
      <c r="D1098" s="14">
        <f>83635.97+15689.35+15689.35</f>
        <v>115014.67000000001</v>
      </c>
      <c r="E1098" s="14"/>
      <c r="F1098" s="14"/>
      <c r="G1098" s="14"/>
      <c r="H1098" s="14"/>
      <c r="I1098" s="14"/>
      <c r="J1098" s="14">
        <f t="shared" ref="J1098:J1110" si="271">SUM(B1098:I1098)</f>
        <v>115014.67000000001</v>
      </c>
      <c r="L1098" s="19"/>
    </row>
    <row r="1099" spans="1:12" x14ac:dyDescent="0.25">
      <c r="A1099" s="9" t="s">
        <v>12</v>
      </c>
      <c r="B1099" s="14"/>
      <c r="C1099" s="14"/>
      <c r="D1099" s="14">
        <v>399</v>
      </c>
      <c r="E1099" s="14">
        <f>18643.18+215.16</f>
        <v>18858.34</v>
      </c>
      <c r="F1099" s="14"/>
      <c r="G1099" s="14"/>
      <c r="H1099" s="14"/>
      <c r="I1099" s="14"/>
      <c r="J1099" s="14">
        <f t="shared" si="271"/>
        <v>19257.34</v>
      </c>
      <c r="L1099" s="19"/>
    </row>
    <row r="1100" spans="1:12" x14ac:dyDescent="0.25">
      <c r="A1100" s="9" t="s">
        <v>13</v>
      </c>
      <c r="B1100" s="14"/>
      <c r="C1100" s="14"/>
      <c r="D1100" s="14"/>
      <c r="E1100" s="14"/>
      <c r="F1100" s="14"/>
      <c r="G1100" s="14"/>
      <c r="H1100" s="14"/>
      <c r="I1100" s="14"/>
      <c r="J1100" s="14">
        <f t="shared" si="271"/>
        <v>0</v>
      </c>
      <c r="L1100" s="19"/>
    </row>
    <row r="1101" spans="1:12" x14ac:dyDescent="0.25">
      <c r="A1101" s="9" t="s">
        <v>14</v>
      </c>
      <c r="B1101" s="14"/>
      <c r="C1101" s="14"/>
      <c r="D1101" s="14">
        <f>138.77+297.66</f>
        <v>436.43000000000006</v>
      </c>
      <c r="E1101" s="14"/>
      <c r="F1101" s="14"/>
      <c r="G1101" s="14"/>
      <c r="H1101" s="14"/>
      <c r="I1101" s="14"/>
      <c r="J1101" s="14">
        <f t="shared" si="271"/>
        <v>436.43000000000006</v>
      </c>
      <c r="L1101" s="19"/>
    </row>
    <row r="1102" spans="1:12" x14ac:dyDescent="0.25">
      <c r="A1102" s="9" t="s">
        <v>15</v>
      </c>
      <c r="B1102" s="14"/>
      <c r="C1102" s="14"/>
      <c r="D1102" s="14"/>
      <c r="E1102" s="14"/>
      <c r="F1102" s="14"/>
      <c r="G1102" s="14"/>
      <c r="H1102" s="14"/>
      <c r="I1102" s="14"/>
      <c r="J1102" s="14">
        <f t="shared" si="271"/>
        <v>0</v>
      </c>
      <c r="L1102" s="19"/>
    </row>
    <row r="1103" spans="1:12" x14ac:dyDescent="0.25">
      <c r="A1103" s="9" t="s">
        <v>16</v>
      </c>
      <c r="B1103" s="14"/>
      <c r="C1103" s="14"/>
      <c r="D1103" s="14"/>
      <c r="E1103" s="14"/>
      <c r="F1103" s="14"/>
      <c r="G1103" s="14"/>
      <c r="H1103" s="14"/>
      <c r="I1103" s="14"/>
      <c r="J1103" s="14">
        <f t="shared" si="271"/>
        <v>0</v>
      </c>
      <c r="L1103" s="19"/>
    </row>
    <row r="1104" spans="1:12" x14ac:dyDescent="0.25">
      <c r="A1104" s="9" t="s">
        <v>17</v>
      </c>
      <c r="B1104" s="14"/>
      <c r="C1104" s="14"/>
      <c r="D1104" s="14"/>
      <c r="E1104" s="14"/>
      <c r="F1104" s="14"/>
      <c r="G1104" s="14"/>
      <c r="H1104" s="14"/>
      <c r="I1104" s="14"/>
      <c r="J1104" s="14">
        <f t="shared" si="271"/>
        <v>0</v>
      </c>
      <c r="L1104" s="19"/>
    </row>
    <row r="1105" spans="1:12" x14ac:dyDescent="0.25">
      <c r="A1105" s="9" t="s">
        <v>18</v>
      </c>
      <c r="B1105" s="14">
        <f>279.37+46.5</f>
        <v>325.87</v>
      </c>
      <c r="C1105" s="14"/>
      <c r="D1105" s="14"/>
      <c r="E1105" s="14"/>
      <c r="F1105" s="14"/>
      <c r="G1105" s="14"/>
      <c r="H1105" s="14"/>
      <c r="I1105" s="14"/>
      <c r="J1105" s="14">
        <f t="shared" si="271"/>
        <v>325.87</v>
      </c>
      <c r="L1105" s="19"/>
    </row>
    <row r="1106" spans="1:12" x14ac:dyDescent="0.25">
      <c r="A1106" s="9" t="s">
        <v>19</v>
      </c>
      <c r="B1106" s="14"/>
      <c r="C1106" s="14"/>
      <c r="D1106" s="14"/>
      <c r="E1106" s="14"/>
      <c r="F1106" s="14"/>
      <c r="G1106" s="14"/>
      <c r="H1106" s="14"/>
      <c r="I1106" s="14"/>
      <c r="J1106" s="14">
        <f t="shared" si="271"/>
        <v>0</v>
      </c>
      <c r="L1106" s="19"/>
    </row>
    <row r="1107" spans="1:12" x14ac:dyDescent="0.25">
      <c r="A1107" s="9" t="s">
        <v>20</v>
      </c>
      <c r="B1107" s="14"/>
      <c r="C1107" s="14"/>
      <c r="D1107" s="14"/>
      <c r="E1107" s="14"/>
      <c r="F1107" s="14"/>
      <c r="G1107" s="14"/>
      <c r="H1107" s="14"/>
      <c r="I1107" s="14"/>
      <c r="J1107" s="14">
        <f t="shared" si="271"/>
        <v>0</v>
      </c>
      <c r="L1107" s="19"/>
    </row>
    <row r="1108" spans="1:12" x14ac:dyDescent="0.25">
      <c r="A1108" s="5" t="s">
        <v>21</v>
      </c>
      <c r="B1108" s="14">
        <f t="shared" ref="B1108:I1108" si="272">SUM(B1098:B1107)</f>
        <v>325.87</v>
      </c>
      <c r="C1108" s="14">
        <f t="shared" si="272"/>
        <v>0</v>
      </c>
      <c r="D1108" s="14">
        <f t="shared" si="272"/>
        <v>115850.1</v>
      </c>
      <c r="E1108" s="14">
        <f t="shared" si="272"/>
        <v>18858.34</v>
      </c>
      <c r="F1108" s="14">
        <f t="shared" si="272"/>
        <v>0</v>
      </c>
      <c r="G1108" s="14">
        <f t="shared" si="272"/>
        <v>0</v>
      </c>
      <c r="H1108" s="14">
        <f t="shared" si="272"/>
        <v>0</v>
      </c>
      <c r="I1108" s="14">
        <f t="shared" si="272"/>
        <v>0</v>
      </c>
      <c r="J1108" s="14">
        <f t="shared" si="271"/>
        <v>135034.31</v>
      </c>
      <c r="L1108" s="19"/>
    </row>
    <row r="1109" spans="1:12" x14ac:dyDescent="0.25">
      <c r="A1109" s="9" t="s">
        <v>22</v>
      </c>
      <c r="B1109" s="14"/>
      <c r="C1109" s="14"/>
      <c r="D1109" s="14"/>
      <c r="E1109" s="14"/>
      <c r="F1109" s="14"/>
      <c r="G1109" s="14"/>
      <c r="H1109" s="14"/>
      <c r="I1109" s="14"/>
      <c r="J1109" s="14">
        <f t="shared" si="271"/>
        <v>0</v>
      </c>
      <c r="L1109" s="19"/>
    </row>
    <row r="1110" spans="1:12" x14ac:dyDescent="0.25">
      <c r="A1110" s="9" t="s">
        <v>23</v>
      </c>
      <c r="B1110" s="14"/>
      <c r="C1110" s="14"/>
      <c r="D1110" s="14"/>
      <c r="E1110" s="14"/>
      <c r="F1110" s="14"/>
      <c r="G1110" s="14"/>
      <c r="H1110" s="14"/>
      <c r="I1110" s="14"/>
      <c r="J1110" s="14">
        <f t="shared" si="271"/>
        <v>0</v>
      </c>
      <c r="L1110" s="19"/>
    </row>
    <row r="1111" spans="1:12" x14ac:dyDescent="0.25">
      <c r="A1111" s="5" t="s">
        <v>42</v>
      </c>
      <c r="B1111" s="14">
        <f t="shared" ref="B1111:J1111" si="273">SUM(B1109:B1110)</f>
        <v>0</v>
      </c>
      <c r="C1111" s="14">
        <f t="shared" si="273"/>
        <v>0</v>
      </c>
      <c r="D1111" s="14">
        <f t="shared" si="273"/>
        <v>0</v>
      </c>
      <c r="E1111" s="14">
        <f t="shared" si="273"/>
        <v>0</v>
      </c>
      <c r="F1111" s="14">
        <f t="shared" si="273"/>
        <v>0</v>
      </c>
      <c r="G1111" s="14">
        <f t="shared" si="273"/>
        <v>0</v>
      </c>
      <c r="H1111" s="14">
        <f t="shared" si="273"/>
        <v>0</v>
      </c>
      <c r="I1111" s="14">
        <f t="shared" si="273"/>
        <v>0</v>
      </c>
      <c r="J1111" s="14">
        <f t="shared" si="273"/>
        <v>0</v>
      </c>
      <c r="L1111" s="19"/>
    </row>
    <row r="1112" spans="1:12" x14ac:dyDescent="0.25">
      <c r="A1112" s="5" t="s">
        <v>24</v>
      </c>
      <c r="B1112" s="14">
        <f t="shared" ref="B1112:J1112" si="274">B1108+B1111</f>
        <v>325.87</v>
      </c>
      <c r="C1112" s="14">
        <f t="shared" si="274"/>
        <v>0</v>
      </c>
      <c r="D1112" s="14">
        <f t="shared" si="274"/>
        <v>115850.1</v>
      </c>
      <c r="E1112" s="14">
        <f t="shared" si="274"/>
        <v>18858.34</v>
      </c>
      <c r="F1112" s="14">
        <f t="shared" si="274"/>
        <v>0</v>
      </c>
      <c r="G1112" s="14">
        <f t="shared" si="274"/>
        <v>0</v>
      </c>
      <c r="H1112" s="14">
        <f t="shared" si="274"/>
        <v>0</v>
      </c>
      <c r="I1112" s="14">
        <f t="shared" si="274"/>
        <v>0</v>
      </c>
      <c r="J1112" s="14">
        <f t="shared" si="274"/>
        <v>135034.31</v>
      </c>
      <c r="L1112" s="19"/>
    </row>
    <row r="1113" spans="1:12" x14ac:dyDescent="0.25">
      <c r="A1113" s="10" t="s">
        <v>99</v>
      </c>
      <c r="B1113" s="14"/>
      <c r="C1113" s="14"/>
      <c r="D1113" s="14"/>
      <c r="E1113" s="14"/>
      <c r="F1113" s="14"/>
      <c r="G1113" s="14"/>
      <c r="H1113" s="14"/>
      <c r="I1113" s="14"/>
      <c r="J1113" s="14"/>
      <c r="L1113" s="19"/>
    </row>
    <row r="1114" spans="1:12" x14ac:dyDescent="0.25">
      <c r="A1114" s="9" t="s">
        <v>11</v>
      </c>
      <c r="B1114" s="14"/>
      <c r="C1114" s="14"/>
      <c r="D1114" s="14">
        <f>84981.49+11174.71+11174.71</f>
        <v>107330.91</v>
      </c>
      <c r="E1114" s="14"/>
      <c r="F1114" s="14"/>
      <c r="G1114" s="14"/>
      <c r="H1114" s="14"/>
      <c r="I1114" s="14"/>
      <c r="J1114" s="14">
        <f t="shared" ref="J1114:J1126" si="275">SUM(B1114:I1114)</f>
        <v>107330.91</v>
      </c>
      <c r="L1114" s="19"/>
    </row>
    <row r="1115" spans="1:12" x14ac:dyDescent="0.25">
      <c r="A1115" s="9" t="s">
        <v>12</v>
      </c>
      <c r="B1115" s="14"/>
      <c r="C1115" s="14"/>
      <c r="D1115" s="14"/>
      <c r="E1115" s="14">
        <v>215.16</v>
      </c>
      <c r="F1115" s="14"/>
      <c r="G1115" s="14"/>
      <c r="H1115" s="14"/>
      <c r="I1115" s="14"/>
      <c r="J1115" s="14">
        <f t="shared" si="275"/>
        <v>215.16</v>
      </c>
      <c r="L1115" s="19"/>
    </row>
    <row r="1116" spans="1:12" x14ac:dyDescent="0.25">
      <c r="A1116" s="9" t="s">
        <v>13</v>
      </c>
      <c r="B1116" s="14"/>
      <c r="C1116" s="14"/>
      <c r="D1116" s="14"/>
      <c r="E1116" s="14"/>
      <c r="F1116" s="14"/>
      <c r="G1116" s="14"/>
      <c r="H1116" s="14"/>
      <c r="I1116" s="14"/>
      <c r="J1116" s="14">
        <f t="shared" si="275"/>
        <v>0</v>
      </c>
      <c r="L1116" s="19"/>
    </row>
    <row r="1117" spans="1:12" x14ac:dyDescent="0.25">
      <c r="A1117" s="9" t="s">
        <v>14</v>
      </c>
      <c r="B1117" s="14"/>
      <c r="C1117" s="14"/>
      <c r="D1117" s="14"/>
      <c r="E1117" s="14"/>
      <c r="F1117" s="14"/>
      <c r="G1117" s="14"/>
      <c r="H1117" s="14"/>
      <c r="I1117" s="14"/>
      <c r="J1117" s="14">
        <f t="shared" si="275"/>
        <v>0</v>
      </c>
      <c r="L1117" s="19"/>
    </row>
    <row r="1118" spans="1:12" x14ac:dyDescent="0.25">
      <c r="A1118" s="9" t="s">
        <v>15</v>
      </c>
      <c r="B1118" s="14"/>
      <c r="C1118" s="14"/>
      <c r="D1118" s="14"/>
      <c r="E1118" s="14"/>
      <c r="F1118" s="14"/>
      <c r="G1118" s="14"/>
      <c r="H1118" s="14"/>
      <c r="I1118" s="14"/>
      <c r="J1118" s="14">
        <f t="shared" si="275"/>
        <v>0</v>
      </c>
      <c r="L1118" s="19"/>
    </row>
    <row r="1119" spans="1:12" x14ac:dyDescent="0.25">
      <c r="A1119" s="9" t="s">
        <v>16</v>
      </c>
      <c r="B1119" s="14"/>
      <c r="C1119" s="14"/>
      <c r="D1119" s="14"/>
      <c r="E1119" s="14"/>
      <c r="F1119" s="14"/>
      <c r="G1119" s="14"/>
      <c r="H1119" s="14"/>
      <c r="I1119" s="14"/>
      <c r="J1119" s="14">
        <f t="shared" si="275"/>
        <v>0</v>
      </c>
      <c r="L1119" s="19"/>
    </row>
    <row r="1120" spans="1:12" x14ac:dyDescent="0.25">
      <c r="A1120" s="9" t="s">
        <v>17</v>
      </c>
      <c r="B1120" s="14"/>
      <c r="C1120" s="14"/>
      <c r="D1120" s="14"/>
      <c r="E1120" s="14"/>
      <c r="F1120" s="14"/>
      <c r="G1120" s="14"/>
      <c r="H1120" s="14"/>
      <c r="I1120" s="14"/>
      <c r="J1120" s="14">
        <f t="shared" si="275"/>
        <v>0</v>
      </c>
      <c r="L1120" s="19"/>
    </row>
    <row r="1121" spans="1:12" x14ac:dyDescent="0.25">
      <c r="A1121" s="9" t="s">
        <v>18</v>
      </c>
      <c r="B1121" s="14">
        <f>417.52+69.5</f>
        <v>487.02</v>
      </c>
      <c r="C1121" s="14"/>
      <c r="D1121" s="14"/>
      <c r="E1121" s="14"/>
      <c r="F1121" s="14"/>
      <c r="G1121" s="14"/>
      <c r="H1121" s="14"/>
      <c r="I1121" s="14"/>
      <c r="J1121" s="14">
        <f t="shared" si="275"/>
        <v>487.02</v>
      </c>
      <c r="L1121" s="19"/>
    </row>
    <row r="1122" spans="1:12" x14ac:dyDescent="0.25">
      <c r="A1122" s="9" t="s">
        <v>19</v>
      </c>
      <c r="B1122" s="14"/>
      <c r="C1122" s="14"/>
      <c r="D1122" s="14"/>
      <c r="E1122" s="14"/>
      <c r="F1122" s="14"/>
      <c r="G1122" s="14"/>
      <c r="H1122" s="14"/>
      <c r="I1122" s="14"/>
      <c r="J1122" s="14">
        <f t="shared" si="275"/>
        <v>0</v>
      </c>
      <c r="L1122" s="19"/>
    </row>
    <row r="1123" spans="1:12" x14ac:dyDescent="0.25">
      <c r="A1123" s="9" t="s">
        <v>20</v>
      </c>
      <c r="B1123" s="14"/>
      <c r="C1123" s="14"/>
      <c r="D1123" s="14"/>
      <c r="E1123" s="14"/>
      <c r="F1123" s="14"/>
      <c r="G1123" s="14"/>
      <c r="H1123" s="14"/>
      <c r="I1123" s="14"/>
      <c r="J1123" s="14">
        <f t="shared" si="275"/>
        <v>0</v>
      </c>
      <c r="L1123" s="19"/>
    </row>
    <row r="1124" spans="1:12" x14ac:dyDescent="0.25">
      <c r="A1124" s="5" t="s">
        <v>21</v>
      </c>
      <c r="B1124" s="14">
        <f t="shared" ref="B1124:I1124" si="276">SUM(B1114:B1123)</f>
        <v>487.02</v>
      </c>
      <c r="C1124" s="14">
        <f t="shared" si="276"/>
        <v>0</v>
      </c>
      <c r="D1124" s="14">
        <f t="shared" si="276"/>
        <v>107330.91</v>
      </c>
      <c r="E1124" s="14">
        <f t="shared" si="276"/>
        <v>215.16</v>
      </c>
      <c r="F1124" s="14">
        <f t="shared" si="276"/>
        <v>0</v>
      </c>
      <c r="G1124" s="14">
        <f t="shared" si="276"/>
        <v>0</v>
      </c>
      <c r="H1124" s="14">
        <f t="shared" si="276"/>
        <v>0</v>
      </c>
      <c r="I1124" s="14">
        <f t="shared" si="276"/>
        <v>0</v>
      </c>
      <c r="J1124" s="14">
        <f t="shared" si="275"/>
        <v>108033.09000000001</v>
      </c>
      <c r="L1124" s="19"/>
    </row>
    <row r="1125" spans="1:12" x14ac:dyDescent="0.25">
      <c r="A1125" s="9" t="s">
        <v>22</v>
      </c>
      <c r="B1125" s="14"/>
      <c r="C1125" s="14"/>
      <c r="D1125" s="14"/>
      <c r="E1125" s="14"/>
      <c r="F1125" s="14"/>
      <c r="G1125" s="14"/>
      <c r="H1125" s="14"/>
      <c r="I1125" s="14"/>
      <c r="J1125" s="14">
        <f t="shared" si="275"/>
        <v>0</v>
      </c>
      <c r="L1125" s="19"/>
    </row>
    <row r="1126" spans="1:12" x14ac:dyDescent="0.25">
      <c r="A1126" s="9" t="s">
        <v>23</v>
      </c>
      <c r="B1126" s="14"/>
      <c r="C1126" s="14"/>
      <c r="D1126" s="14"/>
      <c r="E1126" s="14"/>
      <c r="F1126" s="14"/>
      <c r="G1126" s="14"/>
      <c r="H1126" s="14"/>
      <c r="I1126" s="14"/>
      <c r="J1126" s="14">
        <f t="shared" si="275"/>
        <v>0</v>
      </c>
      <c r="L1126" s="19"/>
    </row>
    <row r="1127" spans="1:12" x14ac:dyDescent="0.25">
      <c r="A1127" s="5" t="s">
        <v>42</v>
      </c>
      <c r="B1127" s="14">
        <f t="shared" ref="B1127:J1127" si="277">SUM(B1125:B1126)</f>
        <v>0</v>
      </c>
      <c r="C1127" s="14">
        <f t="shared" si="277"/>
        <v>0</v>
      </c>
      <c r="D1127" s="14">
        <f t="shared" si="277"/>
        <v>0</v>
      </c>
      <c r="E1127" s="14">
        <f t="shared" si="277"/>
        <v>0</v>
      </c>
      <c r="F1127" s="14">
        <f t="shared" si="277"/>
        <v>0</v>
      </c>
      <c r="G1127" s="14">
        <f t="shared" si="277"/>
        <v>0</v>
      </c>
      <c r="H1127" s="14">
        <f t="shared" si="277"/>
        <v>0</v>
      </c>
      <c r="I1127" s="14">
        <f t="shared" si="277"/>
        <v>0</v>
      </c>
      <c r="J1127" s="14">
        <f t="shared" si="277"/>
        <v>0</v>
      </c>
      <c r="L1127" s="19"/>
    </row>
    <row r="1128" spans="1:12" x14ac:dyDescent="0.25">
      <c r="A1128" s="5" t="s">
        <v>24</v>
      </c>
      <c r="B1128" s="14">
        <f t="shared" ref="B1128:J1128" si="278">B1124+B1127</f>
        <v>487.02</v>
      </c>
      <c r="C1128" s="14">
        <f t="shared" si="278"/>
        <v>0</v>
      </c>
      <c r="D1128" s="14">
        <f t="shared" si="278"/>
        <v>107330.91</v>
      </c>
      <c r="E1128" s="14">
        <f t="shared" si="278"/>
        <v>215.16</v>
      </c>
      <c r="F1128" s="14">
        <f t="shared" si="278"/>
        <v>0</v>
      </c>
      <c r="G1128" s="14">
        <f t="shared" si="278"/>
        <v>0</v>
      </c>
      <c r="H1128" s="14">
        <f t="shared" si="278"/>
        <v>0</v>
      </c>
      <c r="I1128" s="14">
        <f t="shared" si="278"/>
        <v>0</v>
      </c>
      <c r="J1128" s="14">
        <f t="shared" si="278"/>
        <v>108033.09000000001</v>
      </c>
      <c r="L1128" s="19"/>
    </row>
    <row r="1129" spans="1:12" x14ac:dyDescent="0.25">
      <c r="A1129" s="10" t="s">
        <v>100</v>
      </c>
      <c r="B1129" s="14"/>
      <c r="C1129" s="14"/>
      <c r="D1129" s="14"/>
      <c r="E1129" s="14"/>
      <c r="F1129" s="14"/>
      <c r="G1129" s="14"/>
      <c r="H1129" s="14"/>
      <c r="I1129" s="14"/>
      <c r="J1129" s="14"/>
      <c r="L1129" s="19"/>
    </row>
    <row r="1130" spans="1:12" x14ac:dyDescent="0.25">
      <c r="A1130" s="9" t="s">
        <v>11</v>
      </c>
      <c r="B1130" s="14"/>
      <c r="C1130" s="14"/>
      <c r="D1130" s="14">
        <f>8793.82</f>
        <v>8793.82</v>
      </c>
      <c r="E1130" s="14"/>
      <c r="F1130" s="14"/>
      <c r="G1130" s="14"/>
      <c r="H1130" s="14"/>
      <c r="I1130" s="14"/>
      <c r="J1130" s="14">
        <f t="shared" ref="J1130:J1142" si="279">SUM(B1130:I1130)</f>
        <v>8793.82</v>
      </c>
      <c r="L1130" s="19"/>
    </row>
    <row r="1131" spans="1:12" x14ac:dyDescent="0.25">
      <c r="A1131" s="9" t="s">
        <v>12</v>
      </c>
      <c r="B1131" s="14"/>
      <c r="C1131" s="14"/>
      <c r="D1131" s="14"/>
      <c r="E1131" s="14">
        <v>15000</v>
      </c>
      <c r="F1131" s="14"/>
      <c r="G1131" s="14"/>
      <c r="H1131" s="14"/>
      <c r="I1131" s="14"/>
      <c r="J1131" s="14">
        <f t="shared" si="279"/>
        <v>15000</v>
      </c>
      <c r="L1131" s="19"/>
    </row>
    <row r="1132" spans="1:12" x14ac:dyDescent="0.25">
      <c r="A1132" s="9" t="s">
        <v>13</v>
      </c>
      <c r="B1132" s="14"/>
      <c r="C1132" s="14"/>
      <c r="D1132" s="14"/>
      <c r="E1132" s="14"/>
      <c r="F1132" s="14"/>
      <c r="G1132" s="14"/>
      <c r="H1132" s="14"/>
      <c r="I1132" s="14"/>
      <c r="J1132" s="14">
        <f t="shared" si="279"/>
        <v>0</v>
      </c>
      <c r="L1132" s="19"/>
    </row>
    <row r="1133" spans="1:12" x14ac:dyDescent="0.25">
      <c r="A1133" s="9" t="s">
        <v>14</v>
      </c>
      <c r="B1133" s="14"/>
      <c r="C1133" s="14"/>
      <c r="D1133" s="14"/>
      <c r="E1133" s="14"/>
      <c r="F1133" s="14"/>
      <c r="G1133" s="14"/>
      <c r="H1133" s="14"/>
      <c r="I1133" s="14"/>
      <c r="J1133" s="14">
        <f t="shared" si="279"/>
        <v>0</v>
      </c>
      <c r="L1133" s="19"/>
    </row>
    <row r="1134" spans="1:12" x14ac:dyDescent="0.25">
      <c r="A1134" s="9" t="s">
        <v>15</v>
      </c>
      <c r="B1134" s="14"/>
      <c r="C1134" s="14"/>
      <c r="D1134" s="14"/>
      <c r="E1134" s="14"/>
      <c r="F1134" s="14"/>
      <c r="G1134" s="14"/>
      <c r="H1134" s="14"/>
      <c r="I1134" s="14"/>
      <c r="J1134" s="14">
        <f t="shared" si="279"/>
        <v>0</v>
      </c>
      <c r="L1134" s="19"/>
    </row>
    <row r="1135" spans="1:12" x14ac:dyDescent="0.25">
      <c r="A1135" s="9" t="s">
        <v>16</v>
      </c>
      <c r="B1135" s="14"/>
      <c r="C1135" s="14"/>
      <c r="D1135" s="14"/>
      <c r="E1135" s="14"/>
      <c r="F1135" s="14"/>
      <c r="G1135" s="14"/>
      <c r="H1135" s="14"/>
      <c r="I1135" s="14"/>
      <c r="J1135" s="14">
        <f t="shared" si="279"/>
        <v>0</v>
      </c>
      <c r="L1135" s="19"/>
    </row>
    <row r="1136" spans="1:12" x14ac:dyDescent="0.25">
      <c r="A1136" s="9" t="s">
        <v>17</v>
      </c>
      <c r="B1136" s="14"/>
      <c r="C1136" s="14"/>
      <c r="D1136" s="14"/>
      <c r="E1136" s="14"/>
      <c r="F1136" s="14"/>
      <c r="G1136" s="14"/>
      <c r="H1136" s="14"/>
      <c r="I1136" s="14"/>
      <c r="J1136" s="14">
        <f t="shared" si="279"/>
        <v>0</v>
      </c>
      <c r="L1136" s="19"/>
    </row>
    <row r="1137" spans="1:12" x14ac:dyDescent="0.25">
      <c r="A1137" s="9" t="s">
        <v>18</v>
      </c>
      <c r="B1137" s="14">
        <f>24.56+4</f>
        <v>28.56</v>
      </c>
      <c r="C1137" s="14"/>
      <c r="D1137" s="14"/>
      <c r="E1137" s="14"/>
      <c r="F1137" s="14"/>
      <c r="G1137" s="14"/>
      <c r="H1137" s="14"/>
      <c r="I1137" s="14"/>
      <c r="J1137" s="14">
        <f t="shared" si="279"/>
        <v>28.56</v>
      </c>
      <c r="L1137" s="19"/>
    </row>
    <row r="1138" spans="1:12" x14ac:dyDescent="0.25">
      <c r="A1138" s="9" t="s">
        <v>19</v>
      </c>
      <c r="B1138" s="14"/>
      <c r="C1138" s="14"/>
      <c r="D1138" s="14"/>
      <c r="E1138" s="14"/>
      <c r="F1138" s="14"/>
      <c r="G1138" s="14"/>
      <c r="H1138" s="14"/>
      <c r="I1138" s="14"/>
      <c r="J1138" s="14">
        <f t="shared" si="279"/>
        <v>0</v>
      </c>
      <c r="L1138" s="19"/>
    </row>
    <row r="1139" spans="1:12" x14ac:dyDescent="0.25">
      <c r="A1139" s="9" t="s">
        <v>20</v>
      </c>
      <c r="B1139" s="14"/>
      <c r="C1139" s="14"/>
      <c r="D1139" s="14"/>
      <c r="E1139" s="14"/>
      <c r="F1139" s="14"/>
      <c r="G1139" s="14"/>
      <c r="H1139" s="14"/>
      <c r="I1139" s="14"/>
      <c r="J1139" s="14">
        <f t="shared" si="279"/>
        <v>0</v>
      </c>
      <c r="L1139" s="19"/>
    </row>
    <row r="1140" spans="1:12" x14ac:dyDescent="0.25">
      <c r="A1140" s="5" t="s">
        <v>21</v>
      </c>
      <c r="B1140" s="14">
        <f t="shared" ref="B1140:I1140" si="280">SUM(B1130:B1139)</f>
        <v>28.56</v>
      </c>
      <c r="C1140" s="14">
        <f t="shared" si="280"/>
        <v>0</v>
      </c>
      <c r="D1140" s="14">
        <f t="shared" si="280"/>
        <v>8793.82</v>
      </c>
      <c r="E1140" s="14">
        <f t="shared" si="280"/>
        <v>15000</v>
      </c>
      <c r="F1140" s="14">
        <f t="shared" si="280"/>
        <v>0</v>
      </c>
      <c r="G1140" s="14">
        <f t="shared" si="280"/>
        <v>0</v>
      </c>
      <c r="H1140" s="14">
        <f t="shared" si="280"/>
        <v>0</v>
      </c>
      <c r="I1140" s="14">
        <f t="shared" si="280"/>
        <v>0</v>
      </c>
      <c r="J1140" s="14">
        <f t="shared" si="279"/>
        <v>23822.379999999997</v>
      </c>
      <c r="L1140" s="19"/>
    </row>
    <row r="1141" spans="1:12" x14ac:dyDescent="0.25">
      <c r="A1141" s="9" t="s">
        <v>22</v>
      </c>
      <c r="B1141" s="14"/>
      <c r="C1141" s="14"/>
      <c r="D1141" s="14"/>
      <c r="E1141" s="14"/>
      <c r="F1141" s="14"/>
      <c r="G1141" s="14"/>
      <c r="H1141" s="14"/>
      <c r="I1141" s="14"/>
      <c r="J1141" s="14">
        <f t="shared" si="279"/>
        <v>0</v>
      </c>
      <c r="L1141" s="19"/>
    </row>
    <row r="1142" spans="1:12" x14ac:dyDescent="0.25">
      <c r="A1142" s="9" t="s">
        <v>23</v>
      </c>
      <c r="B1142" s="14"/>
      <c r="C1142" s="14"/>
      <c r="D1142" s="14"/>
      <c r="E1142" s="14"/>
      <c r="F1142" s="14"/>
      <c r="G1142" s="14"/>
      <c r="H1142" s="14"/>
      <c r="I1142" s="14"/>
      <c r="J1142" s="14">
        <f t="shared" si="279"/>
        <v>0</v>
      </c>
      <c r="L1142" s="19"/>
    </row>
    <row r="1143" spans="1:12" x14ac:dyDescent="0.25">
      <c r="A1143" s="5" t="s">
        <v>42</v>
      </c>
      <c r="B1143" s="14">
        <f t="shared" ref="B1143:J1143" si="281">SUM(B1141:B1142)</f>
        <v>0</v>
      </c>
      <c r="C1143" s="14">
        <f t="shared" si="281"/>
        <v>0</v>
      </c>
      <c r="D1143" s="14">
        <f t="shared" si="281"/>
        <v>0</v>
      </c>
      <c r="E1143" s="14">
        <f t="shared" si="281"/>
        <v>0</v>
      </c>
      <c r="F1143" s="14">
        <f t="shared" si="281"/>
        <v>0</v>
      </c>
      <c r="G1143" s="14">
        <f t="shared" si="281"/>
        <v>0</v>
      </c>
      <c r="H1143" s="14">
        <f t="shared" si="281"/>
        <v>0</v>
      </c>
      <c r="I1143" s="14">
        <f t="shared" si="281"/>
        <v>0</v>
      </c>
      <c r="J1143" s="14">
        <f t="shared" si="281"/>
        <v>0</v>
      </c>
      <c r="L1143" s="19"/>
    </row>
    <row r="1144" spans="1:12" x14ac:dyDescent="0.25">
      <c r="A1144" s="5" t="s">
        <v>24</v>
      </c>
      <c r="B1144" s="14">
        <f t="shared" ref="B1144:J1144" si="282">B1140+B1143</f>
        <v>28.56</v>
      </c>
      <c r="C1144" s="14">
        <f t="shared" si="282"/>
        <v>0</v>
      </c>
      <c r="D1144" s="14">
        <f t="shared" si="282"/>
        <v>8793.82</v>
      </c>
      <c r="E1144" s="14">
        <f t="shared" si="282"/>
        <v>15000</v>
      </c>
      <c r="F1144" s="14">
        <f t="shared" si="282"/>
        <v>0</v>
      </c>
      <c r="G1144" s="14">
        <f t="shared" si="282"/>
        <v>0</v>
      </c>
      <c r="H1144" s="14">
        <f t="shared" si="282"/>
        <v>0</v>
      </c>
      <c r="I1144" s="14">
        <f t="shared" si="282"/>
        <v>0</v>
      </c>
      <c r="J1144" s="14">
        <f t="shared" si="282"/>
        <v>23822.379999999997</v>
      </c>
      <c r="L1144" s="19"/>
    </row>
    <row r="1145" spans="1:12" x14ac:dyDescent="0.25">
      <c r="A1145" s="10" t="s">
        <v>110</v>
      </c>
      <c r="B1145" s="14"/>
      <c r="C1145" s="14"/>
      <c r="D1145" s="14"/>
      <c r="E1145" s="14"/>
      <c r="F1145" s="14"/>
      <c r="G1145" s="14"/>
      <c r="H1145" s="14"/>
      <c r="I1145" s="14"/>
      <c r="J1145" s="14"/>
      <c r="L1145" s="19"/>
    </row>
    <row r="1146" spans="1:12" x14ac:dyDescent="0.25">
      <c r="A1146" s="9" t="s">
        <v>11</v>
      </c>
      <c r="B1146" s="14"/>
      <c r="C1146" s="14"/>
      <c r="D1146" s="14">
        <f>108448.07+8039.19+8039.19</f>
        <v>124526.45000000001</v>
      </c>
      <c r="E1146" s="14"/>
      <c r="F1146" s="14"/>
      <c r="G1146" s="14"/>
      <c r="H1146" s="14"/>
      <c r="I1146" s="14"/>
      <c r="J1146" s="14">
        <f t="shared" ref="J1146:J1158" si="283">SUM(B1146:I1146)</f>
        <v>124526.45000000001</v>
      </c>
      <c r="L1146" s="19"/>
    </row>
    <row r="1147" spans="1:12" x14ac:dyDescent="0.25">
      <c r="A1147" s="9" t="s">
        <v>12</v>
      </c>
      <c r="B1147" s="14"/>
      <c r="C1147" s="14"/>
      <c r="D1147" s="14"/>
      <c r="E1147" s="14">
        <v>215.16</v>
      </c>
      <c r="F1147" s="14"/>
      <c r="G1147" s="14"/>
      <c r="H1147" s="14"/>
      <c r="I1147" s="14"/>
      <c r="J1147" s="14">
        <f t="shared" si="283"/>
        <v>215.16</v>
      </c>
      <c r="L1147" s="19"/>
    </row>
    <row r="1148" spans="1:12" x14ac:dyDescent="0.25">
      <c r="A1148" s="9" t="s">
        <v>13</v>
      </c>
      <c r="B1148" s="14"/>
      <c r="C1148" s="14"/>
      <c r="D1148" s="14"/>
      <c r="E1148" s="14"/>
      <c r="F1148" s="14"/>
      <c r="G1148" s="14"/>
      <c r="H1148" s="14"/>
      <c r="I1148" s="14"/>
      <c r="J1148" s="14">
        <f t="shared" si="283"/>
        <v>0</v>
      </c>
      <c r="L1148" s="19"/>
    </row>
    <row r="1149" spans="1:12" x14ac:dyDescent="0.25">
      <c r="A1149" s="9" t="s">
        <v>14</v>
      </c>
      <c r="B1149" s="14"/>
      <c r="C1149" s="14"/>
      <c r="D1149" s="14"/>
      <c r="E1149" s="14"/>
      <c r="F1149" s="14"/>
      <c r="G1149" s="14"/>
      <c r="H1149" s="14"/>
      <c r="I1149" s="14"/>
      <c r="J1149" s="14">
        <f t="shared" si="283"/>
        <v>0</v>
      </c>
      <c r="L1149" s="19"/>
    </row>
    <row r="1150" spans="1:12" x14ac:dyDescent="0.25">
      <c r="A1150" s="9" t="s">
        <v>15</v>
      </c>
      <c r="B1150" s="14"/>
      <c r="C1150" s="14"/>
      <c r="D1150" s="14"/>
      <c r="E1150" s="14"/>
      <c r="F1150" s="14"/>
      <c r="G1150" s="14"/>
      <c r="H1150" s="14"/>
      <c r="I1150" s="14"/>
      <c r="J1150" s="14">
        <f t="shared" si="283"/>
        <v>0</v>
      </c>
      <c r="L1150" s="19"/>
    </row>
    <row r="1151" spans="1:12" x14ac:dyDescent="0.25">
      <c r="A1151" s="9" t="s">
        <v>16</v>
      </c>
      <c r="B1151" s="14"/>
      <c r="C1151" s="14"/>
      <c r="D1151" s="14"/>
      <c r="E1151" s="14"/>
      <c r="F1151" s="14"/>
      <c r="G1151" s="14"/>
      <c r="H1151" s="14"/>
      <c r="I1151" s="14"/>
      <c r="J1151" s="14">
        <f t="shared" si="283"/>
        <v>0</v>
      </c>
      <c r="L1151" s="19"/>
    </row>
    <row r="1152" spans="1:12" x14ac:dyDescent="0.25">
      <c r="A1152" s="9" t="s">
        <v>17</v>
      </c>
      <c r="B1152" s="14"/>
      <c r="C1152" s="14"/>
      <c r="D1152" s="14"/>
      <c r="E1152" s="14"/>
      <c r="F1152" s="14"/>
      <c r="G1152" s="14"/>
      <c r="H1152" s="14"/>
      <c r="I1152" s="14"/>
      <c r="J1152" s="14">
        <f t="shared" si="283"/>
        <v>0</v>
      </c>
      <c r="L1152" s="19"/>
    </row>
    <row r="1153" spans="1:12" x14ac:dyDescent="0.25">
      <c r="A1153" s="9" t="s">
        <v>18</v>
      </c>
      <c r="B1153" s="14"/>
      <c r="C1153" s="14"/>
      <c r="D1153" s="14"/>
      <c r="E1153" s="14"/>
      <c r="F1153" s="14"/>
      <c r="G1153" s="14"/>
      <c r="H1153" s="14"/>
      <c r="I1153" s="14"/>
      <c r="J1153" s="14">
        <f t="shared" si="283"/>
        <v>0</v>
      </c>
      <c r="L1153" s="19"/>
    </row>
    <row r="1154" spans="1:12" x14ac:dyDescent="0.25">
      <c r="A1154" s="9" t="s">
        <v>19</v>
      </c>
      <c r="B1154" s="14"/>
      <c r="C1154" s="14"/>
      <c r="D1154" s="14"/>
      <c r="E1154" s="14"/>
      <c r="F1154" s="14"/>
      <c r="G1154" s="14"/>
      <c r="H1154" s="14"/>
      <c r="I1154" s="14"/>
      <c r="J1154" s="14">
        <f t="shared" si="283"/>
        <v>0</v>
      </c>
      <c r="L1154" s="19"/>
    </row>
    <row r="1155" spans="1:12" x14ac:dyDescent="0.25">
      <c r="A1155" s="9" t="s">
        <v>20</v>
      </c>
      <c r="B1155" s="14"/>
      <c r="C1155" s="14"/>
      <c r="D1155" s="14"/>
      <c r="E1155" s="14"/>
      <c r="F1155" s="14"/>
      <c r="G1155" s="14"/>
      <c r="H1155" s="14"/>
      <c r="I1155" s="14"/>
      <c r="J1155" s="14">
        <f t="shared" si="283"/>
        <v>0</v>
      </c>
      <c r="L1155" s="19"/>
    </row>
    <row r="1156" spans="1:12" x14ac:dyDescent="0.25">
      <c r="A1156" s="5" t="s">
        <v>21</v>
      </c>
      <c r="B1156" s="14">
        <f t="shared" ref="B1156:I1156" si="284">SUM(B1146:B1155)</f>
        <v>0</v>
      </c>
      <c r="C1156" s="14">
        <f t="shared" si="284"/>
        <v>0</v>
      </c>
      <c r="D1156" s="14">
        <f t="shared" si="284"/>
        <v>124526.45000000001</v>
      </c>
      <c r="E1156" s="14">
        <f t="shared" si="284"/>
        <v>215.16</v>
      </c>
      <c r="F1156" s="14">
        <f t="shared" si="284"/>
        <v>0</v>
      </c>
      <c r="G1156" s="14">
        <f t="shared" si="284"/>
        <v>0</v>
      </c>
      <c r="H1156" s="14">
        <f t="shared" si="284"/>
        <v>0</v>
      </c>
      <c r="I1156" s="14">
        <f t="shared" si="284"/>
        <v>0</v>
      </c>
      <c r="J1156" s="14">
        <f t="shared" si="283"/>
        <v>124741.61000000002</v>
      </c>
      <c r="L1156" s="19"/>
    </row>
    <row r="1157" spans="1:12" x14ac:dyDescent="0.25">
      <c r="A1157" s="9" t="s">
        <v>22</v>
      </c>
      <c r="B1157" s="14"/>
      <c r="C1157" s="14"/>
      <c r="D1157" s="14"/>
      <c r="E1157" s="14"/>
      <c r="F1157" s="14"/>
      <c r="G1157" s="14"/>
      <c r="H1157" s="14"/>
      <c r="I1157" s="14"/>
      <c r="J1157" s="14">
        <f t="shared" si="283"/>
        <v>0</v>
      </c>
      <c r="L1157" s="19"/>
    </row>
    <row r="1158" spans="1:12" x14ac:dyDescent="0.25">
      <c r="A1158" s="9" t="s">
        <v>23</v>
      </c>
      <c r="B1158" s="14"/>
      <c r="C1158" s="14"/>
      <c r="D1158" s="14"/>
      <c r="E1158" s="14"/>
      <c r="F1158" s="14"/>
      <c r="G1158" s="14"/>
      <c r="H1158" s="14"/>
      <c r="I1158" s="14"/>
      <c r="J1158" s="14">
        <f t="shared" si="283"/>
        <v>0</v>
      </c>
      <c r="L1158" s="19"/>
    </row>
    <row r="1159" spans="1:12" x14ac:dyDescent="0.25">
      <c r="A1159" s="5" t="s">
        <v>42</v>
      </c>
      <c r="B1159" s="14">
        <f t="shared" ref="B1159:J1159" si="285">SUM(B1157:B1158)</f>
        <v>0</v>
      </c>
      <c r="C1159" s="14">
        <f t="shared" si="285"/>
        <v>0</v>
      </c>
      <c r="D1159" s="14">
        <f t="shared" si="285"/>
        <v>0</v>
      </c>
      <c r="E1159" s="14">
        <f t="shared" si="285"/>
        <v>0</v>
      </c>
      <c r="F1159" s="14">
        <f t="shared" si="285"/>
        <v>0</v>
      </c>
      <c r="G1159" s="14">
        <f t="shared" si="285"/>
        <v>0</v>
      </c>
      <c r="H1159" s="14">
        <f t="shared" si="285"/>
        <v>0</v>
      </c>
      <c r="I1159" s="14">
        <f t="shared" si="285"/>
        <v>0</v>
      </c>
      <c r="J1159" s="14">
        <f t="shared" si="285"/>
        <v>0</v>
      </c>
      <c r="L1159" s="19"/>
    </row>
    <row r="1160" spans="1:12" x14ac:dyDescent="0.25">
      <c r="A1160" s="5" t="s">
        <v>24</v>
      </c>
      <c r="B1160" s="14">
        <f t="shared" ref="B1160:J1160" si="286">B1156+B1159</f>
        <v>0</v>
      </c>
      <c r="C1160" s="14">
        <f t="shared" si="286"/>
        <v>0</v>
      </c>
      <c r="D1160" s="14">
        <f t="shared" si="286"/>
        <v>124526.45000000001</v>
      </c>
      <c r="E1160" s="14">
        <f t="shared" si="286"/>
        <v>215.16</v>
      </c>
      <c r="F1160" s="14">
        <f t="shared" si="286"/>
        <v>0</v>
      </c>
      <c r="G1160" s="14">
        <f t="shared" si="286"/>
        <v>0</v>
      </c>
      <c r="H1160" s="14">
        <f t="shared" si="286"/>
        <v>0</v>
      </c>
      <c r="I1160" s="14">
        <f t="shared" si="286"/>
        <v>0</v>
      </c>
      <c r="J1160" s="14">
        <f t="shared" si="286"/>
        <v>124741.61000000002</v>
      </c>
      <c r="L1160" s="19"/>
    </row>
    <row r="1161" spans="1:12" x14ac:dyDescent="0.25">
      <c r="A1161" s="10" t="s">
        <v>101</v>
      </c>
      <c r="B1161" s="14"/>
      <c r="C1161" s="14"/>
      <c r="D1161" s="14"/>
      <c r="E1161" s="14"/>
      <c r="F1161" s="14"/>
      <c r="G1161" s="14"/>
      <c r="H1161" s="14"/>
      <c r="I1161" s="14"/>
      <c r="J1161" s="14"/>
      <c r="L1161" s="19"/>
    </row>
    <row r="1162" spans="1:12" x14ac:dyDescent="0.25">
      <c r="A1162" s="9" t="s">
        <v>11</v>
      </c>
      <c r="B1162" s="14"/>
      <c r="C1162" s="14"/>
      <c r="D1162" s="14">
        <f>12249.76+2557.73+2557.73</f>
        <v>17365.22</v>
      </c>
      <c r="E1162" s="14"/>
      <c r="F1162" s="14"/>
      <c r="G1162" s="14"/>
      <c r="H1162" s="14"/>
      <c r="I1162" s="14"/>
      <c r="J1162" s="14">
        <f t="shared" ref="J1162:J1174" si="287">SUM(B1162:I1162)</f>
        <v>17365.22</v>
      </c>
      <c r="L1162" s="19"/>
    </row>
    <row r="1163" spans="1:12" x14ac:dyDescent="0.25">
      <c r="A1163" s="9" t="s">
        <v>12</v>
      </c>
      <c r="B1163" s="14"/>
      <c r="C1163" s="14"/>
      <c r="D1163" s="14"/>
      <c r="E1163" s="14"/>
      <c r="F1163" s="14"/>
      <c r="G1163" s="14"/>
      <c r="H1163" s="14"/>
      <c r="I1163" s="14"/>
      <c r="J1163" s="14">
        <f t="shared" si="287"/>
        <v>0</v>
      </c>
      <c r="L1163" s="19"/>
    </row>
    <row r="1164" spans="1:12" x14ac:dyDescent="0.25">
      <c r="A1164" s="9" t="s">
        <v>13</v>
      </c>
      <c r="B1164" s="14"/>
      <c r="C1164" s="14"/>
      <c r="D1164" s="14"/>
      <c r="E1164" s="14"/>
      <c r="F1164" s="14"/>
      <c r="G1164" s="14"/>
      <c r="H1164" s="14"/>
      <c r="I1164" s="14"/>
      <c r="J1164" s="14">
        <f t="shared" si="287"/>
        <v>0</v>
      </c>
      <c r="L1164" s="19"/>
    </row>
    <row r="1165" spans="1:12" x14ac:dyDescent="0.25">
      <c r="A1165" s="9" t="s">
        <v>14</v>
      </c>
      <c r="B1165" s="14"/>
      <c r="C1165" s="14"/>
      <c r="D1165" s="14"/>
      <c r="E1165" s="14"/>
      <c r="F1165" s="14"/>
      <c r="G1165" s="14"/>
      <c r="H1165" s="14"/>
      <c r="I1165" s="14"/>
      <c r="J1165" s="14">
        <f t="shared" si="287"/>
        <v>0</v>
      </c>
      <c r="L1165" s="19"/>
    </row>
    <row r="1166" spans="1:12" x14ac:dyDescent="0.25">
      <c r="A1166" s="9" t="s">
        <v>15</v>
      </c>
      <c r="B1166" s="14"/>
      <c r="C1166" s="14"/>
      <c r="D1166" s="14"/>
      <c r="E1166" s="14"/>
      <c r="F1166" s="14"/>
      <c r="G1166" s="14"/>
      <c r="H1166" s="14"/>
      <c r="I1166" s="14"/>
      <c r="J1166" s="14">
        <f t="shared" si="287"/>
        <v>0</v>
      </c>
      <c r="L1166" s="19"/>
    </row>
    <row r="1167" spans="1:12" x14ac:dyDescent="0.25">
      <c r="A1167" s="9" t="s">
        <v>16</v>
      </c>
      <c r="B1167" s="14"/>
      <c r="C1167" s="14"/>
      <c r="D1167" s="14"/>
      <c r="E1167" s="14"/>
      <c r="F1167" s="14"/>
      <c r="G1167" s="14"/>
      <c r="H1167" s="14"/>
      <c r="I1167" s="14"/>
      <c r="J1167" s="14">
        <f t="shared" si="287"/>
        <v>0</v>
      </c>
      <c r="L1167" s="19"/>
    </row>
    <row r="1168" spans="1:12" x14ac:dyDescent="0.25">
      <c r="A1168" s="9" t="s">
        <v>17</v>
      </c>
      <c r="B1168" s="14"/>
      <c r="C1168" s="14"/>
      <c r="D1168" s="14"/>
      <c r="E1168" s="14"/>
      <c r="F1168" s="14"/>
      <c r="G1168" s="14"/>
      <c r="H1168" s="14"/>
      <c r="I1168" s="14"/>
      <c r="J1168" s="14">
        <f t="shared" si="287"/>
        <v>0</v>
      </c>
      <c r="L1168" s="19"/>
    </row>
    <row r="1169" spans="1:12" x14ac:dyDescent="0.25">
      <c r="A1169" s="9" t="s">
        <v>18</v>
      </c>
      <c r="B1169" s="14">
        <f>9.21+1.5</f>
        <v>10.71</v>
      </c>
      <c r="C1169" s="14"/>
      <c r="D1169" s="14"/>
      <c r="E1169" s="14"/>
      <c r="F1169" s="14"/>
      <c r="G1169" s="14"/>
      <c r="H1169" s="14"/>
      <c r="I1169" s="14"/>
      <c r="J1169" s="14">
        <f t="shared" si="287"/>
        <v>10.71</v>
      </c>
      <c r="L1169" s="19"/>
    </row>
    <row r="1170" spans="1:12" x14ac:dyDescent="0.25">
      <c r="A1170" s="9" t="s">
        <v>19</v>
      </c>
      <c r="B1170" s="14"/>
      <c r="C1170" s="14"/>
      <c r="D1170" s="14"/>
      <c r="E1170" s="14"/>
      <c r="F1170" s="14"/>
      <c r="G1170" s="14"/>
      <c r="H1170" s="14"/>
      <c r="I1170" s="14"/>
      <c r="J1170" s="14">
        <f t="shared" si="287"/>
        <v>0</v>
      </c>
      <c r="L1170" s="19"/>
    </row>
    <row r="1171" spans="1:12" x14ac:dyDescent="0.25">
      <c r="A1171" s="9" t="s">
        <v>20</v>
      </c>
      <c r="B1171" s="14"/>
      <c r="C1171" s="14"/>
      <c r="D1171" s="14"/>
      <c r="E1171" s="14"/>
      <c r="F1171" s="14"/>
      <c r="G1171" s="14"/>
      <c r="H1171" s="14"/>
      <c r="I1171" s="14"/>
      <c r="J1171" s="14">
        <f t="shared" si="287"/>
        <v>0</v>
      </c>
      <c r="L1171" s="19"/>
    </row>
    <row r="1172" spans="1:12" x14ac:dyDescent="0.25">
      <c r="A1172" s="5" t="s">
        <v>21</v>
      </c>
      <c r="B1172" s="14">
        <f t="shared" ref="B1172:I1172" si="288">SUM(B1162:B1171)</f>
        <v>10.71</v>
      </c>
      <c r="C1172" s="14">
        <f t="shared" si="288"/>
        <v>0</v>
      </c>
      <c r="D1172" s="14">
        <f t="shared" si="288"/>
        <v>17365.22</v>
      </c>
      <c r="E1172" s="14">
        <f t="shared" si="288"/>
        <v>0</v>
      </c>
      <c r="F1172" s="14">
        <f t="shared" si="288"/>
        <v>0</v>
      </c>
      <c r="G1172" s="14">
        <f t="shared" si="288"/>
        <v>0</v>
      </c>
      <c r="H1172" s="14">
        <f t="shared" si="288"/>
        <v>0</v>
      </c>
      <c r="I1172" s="14">
        <f t="shared" si="288"/>
        <v>0</v>
      </c>
      <c r="J1172" s="14">
        <f t="shared" si="287"/>
        <v>17375.93</v>
      </c>
      <c r="L1172" s="19"/>
    </row>
    <row r="1173" spans="1:12" x14ac:dyDescent="0.25">
      <c r="A1173" s="9" t="s">
        <v>22</v>
      </c>
      <c r="B1173" s="14"/>
      <c r="C1173" s="14"/>
      <c r="D1173" s="14"/>
      <c r="E1173" s="14"/>
      <c r="F1173" s="14"/>
      <c r="G1173" s="14"/>
      <c r="H1173" s="14"/>
      <c r="I1173" s="14"/>
      <c r="J1173" s="14">
        <f t="shared" si="287"/>
        <v>0</v>
      </c>
      <c r="L1173" s="19"/>
    </row>
    <row r="1174" spans="1:12" x14ac:dyDescent="0.25">
      <c r="A1174" s="9" t="s">
        <v>23</v>
      </c>
      <c r="B1174" s="14"/>
      <c r="C1174" s="14"/>
      <c r="D1174" s="14"/>
      <c r="E1174" s="14"/>
      <c r="F1174" s="14"/>
      <c r="G1174" s="14"/>
      <c r="H1174" s="14"/>
      <c r="I1174" s="14"/>
      <c r="J1174" s="14">
        <f t="shared" si="287"/>
        <v>0</v>
      </c>
      <c r="L1174" s="19"/>
    </row>
    <row r="1175" spans="1:12" x14ac:dyDescent="0.25">
      <c r="A1175" s="5" t="s">
        <v>42</v>
      </c>
      <c r="B1175" s="14">
        <f t="shared" ref="B1175:J1175" si="289">SUM(B1173:B1174)</f>
        <v>0</v>
      </c>
      <c r="C1175" s="14">
        <f t="shared" si="289"/>
        <v>0</v>
      </c>
      <c r="D1175" s="14">
        <f t="shared" si="289"/>
        <v>0</v>
      </c>
      <c r="E1175" s="14">
        <f t="shared" si="289"/>
        <v>0</v>
      </c>
      <c r="F1175" s="14">
        <f t="shared" si="289"/>
        <v>0</v>
      </c>
      <c r="G1175" s="14">
        <f t="shared" si="289"/>
        <v>0</v>
      </c>
      <c r="H1175" s="14">
        <f t="shared" si="289"/>
        <v>0</v>
      </c>
      <c r="I1175" s="14">
        <f t="shared" si="289"/>
        <v>0</v>
      </c>
      <c r="J1175" s="14">
        <f t="shared" si="289"/>
        <v>0</v>
      </c>
      <c r="L1175" s="19"/>
    </row>
    <row r="1176" spans="1:12" x14ac:dyDescent="0.25">
      <c r="A1176" s="5" t="s">
        <v>24</v>
      </c>
      <c r="B1176" s="14">
        <f t="shared" ref="B1176:J1176" si="290">B1172+B1175</f>
        <v>10.71</v>
      </c>
      <c r="C1176" s="14">
        <f t="shared" si="290"/>
        <v>0</v>
      </c>
      <c r="D1176" s="14">
        <f t="shared" si="290"/>
        <v>17365.22</v>
      </c>
      <c r="E1176" s="14">
        <f t="shared" si="290"/>
        <v>0</v>
      </c>
      <c r="F1176" s="14">
        <f t="shared" si="290"/>
        <v>0</v>
      </c>
      <c r="G1176" s="14">
        <f t="shared" si="290"/>
        <v>0</v>
      </c>
      <c r="H1176" s="14">
        <f t="shared" si="290"/>
        <v>0</v>
      </c>
      <c r="I1176" s="14">
        <f t="shared" si="290"/>
        <v>0</v>
      </c>
      <c r="J1176" s="14">
        <f t="shared" si="290"/>
        <v>17375.93</v>
      </c>
      <c r="L1176" s="19"/>
    </row>
    <row r="1177" spans="1:12" x14ac:dyDescent="0.25">
      <c r="A1177" s="10" t="s">
        <v>102</v>
      </c>
      <c r="B1177" s="14"/>
      <c r="C1177" s="14"/>
      <c r="D1177" s="14"/>
      <c r="E1177" s="14"/>
      <c r="F1177" s="14"/>
      <c r="G1177" s="14"/>
      <c r="H1177" s="14"/>
      <c r="I1177" s="14"/>
      <c r="J1177" s="14"/>
      <c r="L1177" s="19"/>
    </row>
    <row r="1178" spans="1:12" x14ac:dyDescent="0.25">
      <c r="A1178" s="9" t="s">
        <v>11</v>
      </c>
      <c r="B1178" s="14"/>
      <c r="C1178" s="14"/>
      <c r="D1178" s="14">
        <f>49025.07+5882.78+5882.78</f>
        <v>60790.63</v>
      </c>
      <c r="E1178" s="14"/>
      <c r="F1178" s="14"/>
      <c r="G1178" s="14"/>
      <c r="H1178" s="14"/>
      <c r="I1178" s="14"/>
      <c r="J1178" s="14">
        <f t="shared" ref="J1178:J1190" si="291">SUM(B1178:I1178)</f>
        <v>60790.63</v>
      </c>
      <c r="L1178" s="19"/>
    </row>
    <row r="1179" spans="1:12" x14ac:dyDescent="0.25">
      <c r="A1179" s="9" t="s">
        <v>12</v>
      </c>
      <c r="B1179" s="14"/>
      <c r="C1179" s="14"/>
      <c r="D1179" s="14"/>
      <c r="E1179" s="14">
        <v>215.16</v>
      </c>
      <c r="F1179" s="14"/>
      <c r="G1179" s="14"/>
      <c r="H1179" s="14"/>
      <c r="I1179" s="14"/>
      <c r="J1179" s="14">
        <f t="shared" si="291"/>
        <v>215.16</v>
      </c>
      <c r="L1179" s="19"/>
    </row>
    <row r="1180" spans="1:12" x14ac:dyDescent="0.25">
      <c r="A1180" s="9" t="s">
        <v>13</v>
      </c>
      <c r="B1180" s="14"/>
      <c r="C1180" s="14"/>
      <c r="D1180" s="14"/>
      <c r="E1180" s="14"/>
      <c r="F1180" s="14"/>
      <c r="G1180" s="14"/>
      <c r="H1180" s="14"/>
      <c r="I1180" s="14"/>
      <c r="J1180" s="14">
        <f t="shared" si="291"/>
        <v>0</v>
      </c>
      <c r="L1180" s="19"/>
    </row>
    <row r="1181" spans="1:12" x14ac:dyDescent="0.25">
      <c r="A1181" s="9" t="s">
        <v>14</v>
      </c>
      <c r="B1181" s="14"/>
      <c r="C1181" s="14"/>
      <c r="D1181" s="14"/>
      <c r="E1181" s="14"/>
      <c r="F1181" s="14"/>
      <c r="G1181" s="14"/>
      <c r="H1181" s="14"/>
      <c r="I1181" s="14"/>
      <c r="J1181" s="14">
        <f t="shared" si="291"/>
        <v>0</v>
      </c>
      <c r="L1181" s="19"/>
    </row>
    <row r="1182" spans="1:12" x14ac:dyDescent="0.25">
      <c r="A1182" s="9" t="s">
        <v>15</v>
      </c>
      <c r="B1182" s="14"/>
      <c r="C1182" s="14"/>
      <c r="D1182" s="14"/>
      <c r="E1182" s="14"/>
      <c r="F1182" s="14"/>
      <c r="G1182" s="14"/>
      <c r="H1182" s="14"/>
      <c r="I1182" s="14"/>
      <c r="J1182" s="14">
        <f t="shared" si="291"/>
        <v>0</v>
      </c>
      <c r="L1182" s="19"/>
    </row>
    <row r="1183" spans="1:12" x14ac:dyDescent="0.25">
      <c r="A1183" s="9" t="s">
        <v>16</v>
      </c>
      <c r="B1183" s="14"/>
      <c r="C1183" s="14"/>
      <c r="D1183" s="14"/>
      <c r="E1183" s="14"/>
      <c r="F1183" s="14"/>
      <c r="G1183" s="14"/>
      <c r="H1183" s="14"/>
      <c r="I1183" s="14"/>
      <c r="J1183" s="14">
        <f t="shared" si="291"/>
        <v>0</v>
      </c>
      <c r="L1183" s="19"/>
    </row>
    <row r="1184" spans="1:12" x14ac:dyDescent="0.25">
      <c r="A1184" s="9" t="s">
        <v>17</v>
      </c>
      <c r="B1184" s="14"/>
      <c r="C1184" s="14"/>
      <c r="D1184" s="14"/>
      <c r="E1184" s="14"/>
      <c r="F1184" s="14"/>
      <c r="G1184" s="14"/>
      <c r="H1184" s="14"/>
      <c r="I1184" s="14"/>
      <c r="J1184" s="14">
        <f t="shared" si="291"/>
        <v>0</v>
      </c>
      <c r="L1184" s="19"/>
    </row>
    <row r="1185" spans="1:12" x14ac:dyDescent="0.25">
      <c r="A1185" s="9" t="s">
        <v>18</v>
      </c>
      <c r="B1185" s="14">
        <f>58.33+9.67</f>
        <v>68</v>
      </c>
      <c r="C1185" s="14"/>
      <c r="D1185" s="14"/>
      <c r="E1185" s="14"/>
      <c r="F1185" s="14"/>
      <c r="G1185" s="14"/>
      <c r="H1185" s="14"/>
      <c r="I1185" s="14"/>
      <c r="J1185" s="14">
        <f t="shared" si="291"/>
        <v>68</v>
      </c>
      <c r="L1185" s="19"/>
    </row>
    <row r="1186" spans="1:12" x14ac:dyDescent="0.25">
      <c r="A1186" s="9" t="s">
        <v>19</v>
      </c>
      <c r="B1186" s="14"/>
      <c r="C1186" s="14"/>
      <c r="D1186" s="14"/>
      <c r="E1186" s="14"/>
      <c r="F1186" s="14"/>
      <c r="G1186" s="14"/>
      <c r="H1186" s="14"/>
      <c r="I1186" s="14"/>
      <c r="J1186" s="14">
        <f t="shared" si="291"/>
        <v>0</v>
      </c>
      <c r="L1186" s="19"/>
    </row>
    <row r="1187" spans="1:12" x14ac:dyDescent="0.25">
      <c r="A1187" s="9" t="s">
        <v>20</v>
      </c>
      <c r="B1187" s="14"/>
      <c r="C1187" s="14"/>
      <c r="D1187" s="14"/>
      <c r="E1187" s="14"/>
      <c r="F1187" s="14"/>
      <c r="G1187" s="14"/>
      <c r="H1187" s="14"/>
      <c r="I1187" s="14"/>
      <c r="J1187" s="14">
        <f t="shared" si="291"/>
        <v>0</v>
      </c>
      <c r="L1187" s="19"/>
    </row>
    <row r="1188" spans="1:12" x14ac:dyDescent="0.25">
      <c r="A1188" s="5" t="s">
        <v>21</v>
      </c>
      <c r="B1188" s="14">
        <f t="shared" ref="B1188:I1188" si="292">SUM(B1178:B1187)</f>
        <v>68</v>
      </c>
      <c r="C1188" s="14">
        <f t="shared" si="292"/>
        <v>0</v>
      </c>
      <c r="D1188" s="14">
        <f t="shared" si="292"/>
        <v>60790.63</v>
      </c>
      <c r="E1188" s="14">
        <f t="shared" si="292"/>
        <v>215.16</v>
      </c>
      <c r="F1188" s="14">
        <f t="shared" si="292"/>
        <v>0</v>
      </c>
      <c r="G1188" s="14">
        <f t="shared" si="292"/>
        <v>0</v>
      </c>
      <c r="H1188" s="14">
        <f t="shared" si="292"/>
        <v>0</v>
      </c>
      <c r="I1188" s="14">
        <f t="shared" si="292"/>
        <v>0</v>
      </c>
      <c r="J1188" s="14">
        <f t="shared" si="291"/>
        <v>61073.79</v>
      </c>
      <c r="L1188" s="19"/>
    </row>
    <row r="1189" spans="1:12" x14ac:dyDescent="0.25">
      <c r="A1189" s="9" t="s">
        <v>22</v>
      </c>
      <c r="B1189" s="14"/>
      <c r="C1189" s="14"/>
      <c r="D1189" s="14"/>
      <c r="E1189" s="14"/>
      <c r="F1189" s="14"/>
      <c r="G1189" s="14"/>
      <c r="H1189" s="14"/>
      <c r="I1189" s="14"/>
      <c r="J1189" s="14">
        <f t="shared" si="291"/>
        <v>0</v>
      </c>
      <c r="L1189" s="19"/>
    </row>
    <row r="1190" spans="1:12" x14ac:dyDescent="0.25">
      <c r="A1190" s="9" t="s">
        <v>23</v>
      </c>
      <c r="B1190" s="14"/>
      <c r="C1190" s="14"/>
      <c r="D1190" s="14"/>
      <c r="E1190" s="14"/>
      <c r="F1190" s="14"/>
      <c r="G1190" s="14"/>
      <c r="H1190" s="14"/>
      <c r="I1190" s="14"/>
      <c r="J1190" s="14">
        <f t="shared" si="291"/>
        <v>0</v>
      </c>
      <c r="L1190" s="19"/>
    </row>
    <row r="1191" spans="1:12" x14ac:dyDescent="0.25">
      <c r="A1191" s="5" t="s">
        <v>42</v>
      </c>
      <c r="B1191" s="14">
        <f t="shared" ref="B1191:J1191" si="293">SUM(B1189:B1190)</f>
        <v>0</v>
      </c>
      <c r="C1191" s="14">
        <f t="shared" si="293"/>
        <v>0</v>
      </c>
      <c r="D1191" s="14">
        <f t="shared" si="293"/>
        <v>0</v>
      </c>
      <c r="E1191" s="14">
        <f t="shared" si="293"/>
        <v>0</v>
      </c>
      <c r="F1191" s="14">
        <f t="shared" si="293"/>
        <v>0</v>
      </c>
      <c r="G1191" s="14">
        <f t="shared" si="293"/>
        <v>0</v>
      </c>
      <c r="H1191" s="14">
        <f t="shared" si="293"/>
        <v>0</v>
      </c>
      <c r="I1191" s="14">
        <f t="shared" si="293"/>
        <v>0</v>
      </c>
      <c r="J1191" s="14">
        <f t="shared" si="293"/>
        <v>0</v>
      </c>
      <c r="L1191" s="19"/>
    </row>
    <row r="1192" spans="1:12" x14ac:dyDescent="0.25">
      <c r="A1192" s="5" t="s">
        <v>24</v>
      </c>
      <c r="B1192" s="14">
        <f t="shared" ref="B1192:J1192" si="294">B1188+B1191</f>
        <v>68</v>
      </c>
      <c r="C1192" s="14">
        <f t="shared" si="294"/>
        <v>0</v>
      </c>
      <c r="D1192" s="14">
        <f t="shared" si="294"/>
        <v>60790.63</v>
      </c>
      <c r="E1192" s="14">
        <f t="shared" si="294"/>
        <v>215.16</v>
      </c>
      <c r="F1192" s="14">
        <f t="shared" si="294"/>
        <v>0</v>
      </c>
      <c r="G1192" s="14">
        <f t="shared" si="294"/>
        <v>0</v>
      </c>
      <c r="H1192" s="14">
        <f t="shared" si="294"/>
        <v>0</v>
      </c>
      <c r="I1192" s="14">
        <f t="shared" si="294"/>
        <v>0</v>
      </c>
      <c r="J1192" s="14">
        <f t="shared" si="294"/>
        <v>61073.79</v>
      </c>
      <c r="L1192" s="19"/>
    </row>
    <row r="1193" spans="1:12" x14ac:dyDescent="0.25">
      <c r="A1193" s="10" t="s">
        <v>103</v>
      </c>
      <c r="B1193" s="14"/>
      <c r="C1193" s="14"/>
      <c r="D1193" s="14"/>
      <c r="E1193" s="14"/>
      <c r="F1193" s="14"/>
      <c r="G1193" s="14"/>
      <c r="H1193" s="14"/>
      <c r="I1193" s="14"/>
      <c r="J1193" s="14"/>
      <c r="L1193" s="19"/>
    </row>
    <row r="1194" spans="1:12" x14ac:dyDescent="0.25">
      <c r="A1194" s="9" t="s">
        <v>11</v>
      </c>
      <c r="B1194" s="14"/>
      <c r="C1194" s="14"/>
      <c r="D1194" s="14">
        <v>10061.9</v>
      </c>
      <c r="E1194" s="14"/>
      <c r="F1194" s="14"/>
      <c r="G1194" s="14"/>
      <c r="H1194" s="14"/>
      <c r="I1194" s="14"/>
      <c r="J1194" s="14">
        <f t="shared" ref="J1194:J1206" si="295">SUM(B1194:I1194)</f>
        <v>10061.9</v>
      </c>
      <c r="L1194" s="19"/>
    </row>
    <row r="1195" spans="1:12" x14ac:dyDescent="0.25">
      <c r="A1195" s="9" t="s">
        <v>12</v>
      </c>
      <c r="B1195" s="14"/>
      <c r="C1195" s="14"/>
      <c r="D1195" s="14"/>
      <c r="E1195" s="14"/>
      <c r="F1195" s="14"/>
      <c r="G1195" s="14"/>
      <c r="H1195" s="14"/>
      <c r="I1195" s="14"/>
      <c r="J1195" s="14">
        <f t="shared" si="295"/>
        <v>0</v>
      </c>
      <c r="L1195" s="19"/>
    </row>
    <row r="1196" spans="1:12" x14ac:dyDescent="0.25">
      <c r="A1196" s="9" t="s">
        <v>13</v>
      </c>
      <c r="B1196" s="14"/>
      <c r="C1196" s="14"/>
      <c r="D1196" s="14"/>
      <c r="E1196" s="14"/>
      <c r="F1196" s="14"/>
      <c r="G1196" s="14"/>
      <c r="H1196" s="14"/>
      <c r="I1196" s="14"/>
      <c r="J1196" s="14">
        <f t="shared" si="295"/>
        <v>0</v>
      </c>
      <c r="L1196" s="19"/>
    </row>
    <row r="1197" spans="1:12" x14ac:dyDescent="0.25">
      <c r="A1197" s="9" t="s">
        <v>14</v>
      </c>
      <c r="B1197" s="14"/>
      <c r="C1197" s="14"/>
      <c r="D1197" s="14"/>
      <c r="E1197" s="14"/>
      <c r="F1197" s="14"/>
      <c r="G1197" s="14"/>
      <c r="H1197" s="14"/>
      <c r="I1197" s="14"/>
      <c r="J1197" s="14">
        <f t="shared" si="295"/>
        <v>0</v>
      </c>
      <c r="L1197" s="19"/>
    </row>
    <row r="1198" spans="1:12" x14ac:dyDescent="0.25">
      <c r="A1198" s="9" t="s">
        <v>15</v>
      </c>
      <c r="B1198" s="14"/>
      <c r="C1198" s="14"/>
      <c r="D1198" s="14"/>
      <c r="E1198" s="14"/>
      <c r="F1198" s="14"/>
      <c r="G1198" s="14"/>
      <c r="H1198" s="14"/>
      <c r="I1198" s="14"/>
      <c r="J1198" s="14">
        <f t="shared" si="295"/>
        <v>0</v>
      </c>
      <c r="L1198" s="19"/>
    </row>
    <row r="1199" spans="1:12" x14ac:dyDescent="0.25">
      <c r="A1199" s="9" t="s">
        <v>16</v>
      </c>
      <c r="B1199" s="14"/>
      <c r="C1199" s="14"/>
      <c r="D1199" s="14"/>
      <c r="E1199" s="14"/>
      <c r="F1199" s="14"/>
      <c r="G1199" s="14"/>
      <c r="H1199" s="14"/>
      <c r="I1199" s="14"/>
      <c r="J1199" s="14">
        <f t="shared" si="295"/>
        <v>0</v>
      </c>
      <c r="L1199" s="19"/>
    </row>
    <row r="1200" spans="1:12" x14ac:dyDescent="0.25">
      <c r="A1200" s="9" t="s">
        <v>17</v>
      </c>
      <c r="B1200" s="14"/>
      <c r="C1200" s="14"/>
      <c r="D1200" s="14"/>
      <c r="E1200" s="14"/>
      <c r="F1200" s="14"/>
      <c r="G1200" s="14"/>
      <c r="H1200" s="14"/>
      <c r="I1200" s="14"/>
      <c r="J1200" s="14">
        <f t="shared" si="295"/>
        <v>0</v>
      </c>
      <c r="L1200" s="19"/>
    </row>
    <row r="1201" spans="1:12" x14ac:dyDescent="0.25">
      <c r="A1201" s="9" t="s">
        <v>18</v>
      </c>
      <c r="B1201" s="14">
        <f>6.14+1.02</f>
        <v>7.16</v>
      </c>
      <c r="C1201" s="14"/>
      <c r="D1201" s="14"/>
      <c r="E1201" s="14"/>
      <c r="F1201" s="14"/>
      <c r="G1201" s="14"/>
      <c r="H1201" s="14"/>
      <c r="I1201" s="14"/>
      <c r="J1201" s="14">
        <f t="shared" si="295"/>
        <v>7.16</v>
      </c>
      <c r="L1201" s="19"/>
    </row>
    <row r="1202" spans="1:12" x14ac:dyDescent="0.25">
      <c r="A1202" s="9" t="s">
        <v>19</v>
      </c>
      <c r="B1202" s="14"/>
      <c r="C1202" s="14"/>
      <c r="D1202" s="14"/>
      <c r="E1202" s="14"/>
      <c r="F1202" s="14"/>
      <c r="G1202" s="14"/>
      <c r="H1202" s="14"/>
      <c r="I1202" s="14"/>
      <c r="J1202" s="14">
        <f t="shared" si="295"/>
        <v>0</v>
      </c>
      <c r="L1202" s="19"/>
    </row>
    <row r="1203" spans="1:12" x14ac:dyDescent="0.25">
      <c r="A1203" s="9" t="s">
        <v>20</v>
      </c>
      <c r="B1203" s="14"/>
      <c r="C1203" s="14"/>
      <c r="D1203" s="14"/>
      <c r="E1203" s="14"/>
      <c r="F1203" s="14"/>
      <c r="G1203" s="14"/>
      <c r="H1203" s="14"/>
      <c r="I1203" s="14"/>
      <c r="J1203" s="14">
        <f t="shared" si="295"/>
        <v>0</v>
      </c>
      <c r="L1203" s="19"/>
    </row>
    <row r="1204" spans="1:12" x14ac:dyDescent="0.25">
      <c r="A1204" s="5" t="s">
        <v>21</v>
      </c>
      <c r="B1204" s="14">
        <f t="shared" ref="B1204:I1204" si="296">SUM(B1194:B1203)</f>
        <v>7.16</v>
      </c>
      <c r="C1204" s="14">
        <f t="shared" si="296"/>
        <v>0</v>
      </c>
      <c r="D1204" s="14">
        <f t="shared" si="296"/>
        <v>10061.9</v>
      </c>
      <c r="E1204" s="14">
        <f t="shared" si="296"/>
        <v>0</v>
      </c>
      <c r="F1204" s="14">
        <f t="shared" si="296"/>
        <v>0</v>
      </c>
      <c r="G1204" s="14">
        <f t="shared" si="296"/>
        <v>0</v>
      </c>
      <c r="H1204" s="14">
        <f t="shared" si="296"/>
        <v>0</v>
      </c>
      <c r="I1204" s="14">
        <f t="shared" si="296"/>
        <v>0</v>
      </c>
      <c r="J1204" s="14">
        <f t="shared" si="295"/>
        <v>10069.06</v>
      </c>
      <c r="L1204" s="19"/>
    </row>
    <row r="1205" spans="1:12" x14ac:dyDescent="0.25">
      <c r="A1205" s="9" t="s">
        <v>22</v>
      </c>
      <c r="B1205" s="14"/>
      <c r="C1205" s="14"/>
      <c r="D1205" s="14"/>
      <c r="E1205" s="14"/>
      <c r="F1205" s="14"/>
      <c r="G1205" s="14"/>
      <c r="H1205" s="14"/>
      <c r="I1205" s="14"/>
      <c r="J1205" s="14">
        <f t="shared" si="295"/>
        <v>0</v>
      </c>
      <c r="L1205" s="19"/>
    </row>
    <row r="1206" spans="1:12" x14ac:dyDescent="0.25">
      <c r="A1206" s="9" t="s">
        <v>23</v>
      </c>
      <c r="B1206" s="14"/>
      <c r="C1206" s="14"/>
      <c r="D1206" s="14"/>
      <c r="E1206" s="14"/>
      <c r="F1206" s="14"/>
      <c r="G1206" s="14"/>
      <c r="H1206" s="14"/>
      <c r="I1206" s="14"/>
      <c r="J1206" s="14">
        <f t="shared" si="295"/>
        <v>0</v>
      </c>
      <c r="L1206" s="19"/>
    </row>
    <row r="1207" spans="1:12" x14ac:dyDescent="0.25">
      <c r="A1207" s="5" t="s">
        <v>42</v>
      </c>
      <c r="B1207" s="14">
        <f t="shared" ref="B1207:J1207" si="297">SUM(B1205:B1206)</f>
        <v>0</v>
      </c>
      <c r="C1207" s="14">
        <f t="shared" si="297"/>
        <v>0</v>
      </c>
      <c r="D1207" s="14">
        <f t="shared" si="297"/>
        <v>0</v>
      </c>
      <c r="E1207" s="14">
        <f t="shared" si="297"/>
        <v>0</v>
      </c>
      <c r="F1207" s="14">
        <f t="shared" si="297"/>
        <v>0</v>
      </c>
      <c r="G1207" s="14">
        <f t="shared" si="297"/>
        <v>0</v>
      </c>
      <c r="H1207" s="14">
        <f t="shared" si="297"/>
        <v>0</v>
      </c>
      <c r="I1207" s="14">
        <f t="shared" si="297"/>
        <v>0</v>
      </c>
      <c r="J1207" s="14">
        <f t="shared" si="297"/>
        <v>0</v>
      </c>
      <c r="L1207" s="19"/>
    </row>
    <row r="1208" spans="1:12" x14ac:dyDescent="0.25">
      <c r="A1208" s="5" t="s">
        <v>24</v>
      </c>
      <c r="B1208" s="14">
        <f t="shared" ref="B1208:J1208" si="298">B1204+B1207</f>
        <v>7.16</v>
      </c>
      <c r="C1208" s="14">
        <f t="shared" si="298"/>
        <v>0</v>
      </c>
      <c r="D1208" s="14">
        <f t="shared" si="298"/>
        <v>10061.9</v>
      </c>
      <c r="E1208" s="14">
        <f t="shared" si="298"/>
        <v>0</v>
      </c>
      <c r="F1208" s="14">
        <f t="shared" si="298"/>
        <v>0</v>
      </c>
      <c r="G1208" s="14">
        <f t="shared" si="298"/>
        <v>0</v>
      </c>
      <c r="H1208" s="14">
        <f t="shared" si="298"/>
        <v>0</v>
      </c>
      <c r="I1208" s="14">
        <f t="shared" si="298"/>
        <v>0</v>
      </c>
      <c r="J1208" s="14">
        <f t="shared" si="298"/>
        <v>10069.06</v>
      </c>
      <c r="L1208" s="19"/>
    </row>
    <row r="1209" spans="1:12" x14ac:dyDescent="0.25">
      <c r="A1209" s="10" t="s">
        <v>104</v>
      </c>
      <c r="B1209" s="14"/>
      <c r="C1209" s="14"/>
      <c r="D1209" s="14"/>
      <c r="E1209" s="14"/>
      <c r="F1209" s="14"/>
      <c r="G1209" s="14"/>
      <c r="H1209" s="14"/>
      <c r="I1209" s="14"/>
      <c r="J1209" s="14"/>
      <c r="L1209" s="19"/>
    </row>
    <row r="1210" spans="1:12" x14ac:dyDescent="0.25">
      <c r="A1210" s="9" t="s">
        <v>11</v>
      </c>
      <c r="B1210" s="14"/>
      <c r="C1210" s="14"/>
      <c r="D1210" s="14">
        <f>51835.49+4613.8+4613.8</f>
        <v>61063.090000000004</v>
      </c>
      <c r="E1210" s="14"/>
      <c r="F1210" s="14"/>
      <c r="G1210" s="14"/>
      <c r="H1210" s="14"/>
      <c r="I1210" s="14"/>
      <c r="J1210" s="14">
        <f t="shared" ref="J1210:J1222" si="299">SUM(B1210:I1210)</f>
        <v>61063.090000000004</v>
      </c>
      <c r="L1210" s="19"/>
    </row>
    <row r="1211" spans="1:12" x14ac:dyDescent="0.25">
      <c r="A1211" s="9" t="s">
        <v>12</v>
      </c>
      <c r="B1211" s="14"/>
      <c r="C1211" s="14"/>
      <c r="D1211" s="14"/>
      <c r="E1211" s="14">
        <v>215.16</v>
      </c>
      <c r="F1211" s="14"/>
      <c r="G1211" s="14"/>
      <c r="H1211" s="14"/>
      <c r="I1211" s="14"/>
      <c r="J1211" s="14">
        <f t="shared" si="299"/>
        <v>215.16</v>
      </c>
      <c r="L1211" s="19"/>
    </row>
    <row r="1212" spans="1:12" x14ac:dyDescent="0.25">
      <c r="A1212" s="9" t="s">
        <v>13</v>
      </c>
      <c r="B1212" s="14"/>
      <c r="C1212" s="14"/>
      <c r="D1212" s="14"/>
      <c r="E1212" s="14"/>
      <c r="F1212" s="14"/>
      <c r="G1212" s="14"/>
      <c r="H1212" s="14"/>
      <c r="I1212" s="14"/>
      <c r="J1212" s="14">
        <f t="shared" si="299"/>
        <v>0</v>
      </c>
      <c r="L1212" s="19"/>
    </row>
    <row r="1213" spans="1:12" x14ac:dyDescent="0.25">
      <c r="A1213" s="9" t="s">
        <v>14</v>
      </c>
      <c r="B1213" s="14"/>
      <c r="C1213" s="14"/>
      <c r="D1213" s="14">
        <f>138.77</f>
        <v>138.77000000000001</v>
      </c>
      <c r="E1213" s="14"/>
      <c r="F1213" s="14"/>
      <c r="G1213" s="14"/>
      <c r="H1213" s="14"/>
      <c r="I1213" s="14"/>
      <c r="J1213" s="14">
        <f t="shared" si="299"/>
        <v>138.77000000000001</v>
      </c>
      <c r="L1213" s="19"/>
    </row>
    <row r="1214" spans="1:12" x14ac:dyDescent="0.25">
      <c r="A1214" s="9" t="s">
        <v>15</v>
      </c>
      <c r="B1214" s="14"/>
      <c r="C1214" s="14"/>
      <c r="D1214" s="14"/>
      <c r="E1214" s="14"/>
      <c r="F1214" s="14"/>
      <c r="G1214" s="14"/>
      <c r="H1214" s="14"/>
      <c r="I1214" s="14"/>
      <c r="J1214" s="14">
        <f t="shared" si="299"/>
        <v>0</v>
      </c>
      <c r="L1214" s="19"/>
    </row>
    <row r="1215" spans="1:12" x14ac:dyDescent="0.25">
      <c r="A1215" s="9" t="s">
        <v>16</v>
      </c>
      <c r="B1215" s="14"/>
      <c r="C1215" s="14"/>
      <c r="D1215" s="14"/>
      <c r="E1215" s="14"/>
      <c r="F1215" s="14"/>
      <c r="G1215" s="14"/>
      <c r="H1215" s="14"/>
      <c r="I1215" s="14"/>
      <c r="J1215" s="14">
        <f t="shared" si="299"/>
        <v>0</v>
      </c>
      <c r="L1215" s="19"/>
    </row>
    <row r="1216" spans="1:12" x14ac:dyDescent="0.25">
      <c r="A1216" s="9" t="s">
        <v>17</v>
      </c>
      <c r="B1216" s="14"/>
      <c r="C1216" s="14"/>
      <c r="D1216" s="14"/>
      <c r="E1216" s="14"/>
      <c r="F1216" s="14"/>
      <c r="G1216" s="14"/>
      <c r="H1216" s="14"/>
      <c r="I1216" s="14"/>
      <c r="J1216" s="14">
        <f t="shared" si="299"/>
        <v>0</v>
      </c>
      <c r="L1216" s="19"/>
    </row>
    <row r="1217" spans="1:12" x14ac:dyDescent="0.25">
      <c r="A1217" s="9" t="s">
        <v>18</v>
      </c>
      <c r="B1217" s="14">
        <f>285.51+27.5</f>
        <v>313.01</v>
      </c>
      <c r="C1217" s="14"/>
      <c r="D1217" s="14"/>
      <c r="E1217" s="14"/>
      <c r="F1217" s="14"/>
      <c r="G1217" s="14"/>
      <c r="H1217" s="14"/>
      <c r="I1217" s="14"/>
      <c r="J1217" s="14">
        <f t="shared" si="299"/>
        <v>313.01</v>
      </c>
      <c r="L1217" s="19"/>
    </row>
    <row r="1218" spans="1:12" x14ac:dyDescent="0.25">
      <c r="A1218" s="9" t="s">
        <v>19</v>
      </c>
      <c r="B1218" s="14"/>
      <c r="C1218" s="14"/>
      <c r="D1218" s="14"/>
      <c r="E1218" s="14"/>
      <c r="F1218" s="14"/>
      <c r="G1218" s="14"/>
      <c r="H1218" s="14"/>
      <c r="I1218" s="14"/>
      <c r="J1218" s="14">
        <f t="shared" si="299"/>
        <v>0</v>
      </c>
      <c r="L1218" s="19"/>
    </row>
    <row r="1219" spans="1:12" x14ac:dyDescent="0.25">
      <c r="A1219" s="9" t="s">
        <v>20</v>
      </c>
      <c r="B1219" s="14"/>
      <c r="C1219" s="14"/>
      <c r="D1219" s="14"/>
      <c r="E1219" s="14"/>
      <c r="F1219" s="14"/>
      <c r="G1219" s="14"/>
      <c r="H1219" s="14"/>
      <c r="I1219" s="14"/>
      <c r="J1219" s="14">
        <f t="shared" si="299"/>
        <v>0</v>
      </c>
      <c r="L1219" s="19"/>
    </row>
    <row r="1220" spans="1:12" x14ac:dyDescent="0.25">
      <c r="A1220" s="5" t="s">
        <v>21</v>
      </c>
      <c r="B1220" s="14">
        <f t="shared" ref="B1220:I1220" si="300">SUM(B1210:B1219)</f>
        <v>313.01</v>
      </c>
      <c r="C1220" s="14">
        <f t="shared" si="300"/>
        <v>0</v>
      </c>
      <c r="D1220" s="14">
        <f t="shared" si="300"/>
        <v>61201.86</v>
      </c>
      <c r="E1220" s="14">
        <f t="shared" si="300"/>
        <v>215.16</v>
      </c>
      <c r="F1220" s="14">
        <f t="shared" si="300"/>
        <v>0</v>
      </c>
      <c r="G1220" s="14">
        <f t="shared" si="300"/>
        <v>0</v>
      </c>
      <c r="H1220" s="14">
        <f t="shared" si="300"/>
        <v>0</v>
      </c>
      <c r="I1220" s="14">
        <f t="shared" si="300"/>
        <v>0</v>
      </c>
      <c r="J1220" s="14">
        <f t="shared" si="299"/>
        <v>61730.030000000006</v>
      </c>
      <c r="L1220" s="19"/>
    </row>
    <row r="1221" spans="1:12" x14ac:dyDescent="0.25">
      <c r="A1221" s="9" t="s">
        <v>22</v>
      </c>
      <c r="B1221" s="14"/>
      <c r="C1221" s="14"/>
      <c r="D1221" s="14"/>
      <c r="E1221" s="14"/>
      <c r="F1221" s="14"/>
      <c r="G1221" s="14"/>
      <c r="H1221" s="14"/>
      <c r="I1221" s="14"/>
      <c r="J1221" s="14">
        <f t="shared" si="299"/>
        <v>0</v>
      </c>
      <c r="L1221" s="19"/>
    </row>
    <row r="1222" spans="1:12" x14ac:dyDescent="0.25">
      <c r="A1222" s="9" t="s">
        <v>23</v>
      </c>
      <c r="B1222" s="14"/>
      <c r="C1222" s="14"/>
      <c r="D1222" s="14"/>
      <c r="E1222" s="14"/>
      <c r="F1222" s="14"/>
      <c r="G1222" s="14"/>
      <c r="H1222" s="14"/>
      <c r="I1222" s="14"/>
      <c r="J1222" s="14">
        <f t="shared" si="299"/>
        <v>0</v>
      </c>
      <c r="L1222" s="19"/>
    </row>
    <row r="1223" spans="1:12" x14ac:dyDescent="0.25">
      <c r="A1223" s="5" t="s">
        <v>42</v>
      </c>
      <c r="B1223" s="14">
        <f t="shared" ref="B1223:J1223" si="301">SUM(B1221:B1222)</f>
        <v>0</v>
      </c>
      <c r="C1223" s="14">
        <f t="shared" si="301"/>
        <v>0</v>
      </c>
      <c r="D1223" s="14">
        <f t="shared" si="301"/>
        <v>0</v>
      </c>
      <c r="E1223" s="14">
        <f t="shared" si="301"/>
        <v>0</v>
      </c>
      <c r="F1223" s="14">
        <f t="shared" si="301"/>
        <v>0</v>
      </c>
      <c r="G1223" s="14">
        <f t="shared" si="301"/>
        <v>0</v>
      </c>
      <c r="H1223" s="14">
        <f t="shared" si="301"/>
        <v>0</v>
      </c>
      <c r="I1223" s="14">
        <f t="shared" si="301"/>
        <v>0</v>
      </c>
      <c r="J1223" s="14">
        <f t="shared" si="301"/>
        <v>0</v>
      </c>
      <c r="L1223" s="19"/>
    </row>
    <row r="1224" spans="1:12" x14ac:dyDescent="0.25">
      <c r="A1224" s="5" t="s">
        <v>24</v>
      </c>
      <c r="B1224" s="14">
        <f t="shared" ref="B1224:J1224" si="302">B1220+B1223</f>
        <v>313.01</v>
      </c>
      <c r="C1224" s="14">
        <f t="shared" si="302"/>
        <v>0</v>
      </c>
      <c r="D1224" s="14">
        <f t="shared" si="302"/>
        <v>61201.86</v>
      </c>
      <c r="E1224" s="14">
        <f t="shared" si="302"/>
        <v>215.16</v>
      </c>
      <c r="F1224" s="14">
        <f t="shared" si="302"/>
        <v>0</v>
      </c>
      <c r="G1224" s="14">
        <f t="shared" si="302"/>
        <v>0</v>
      </c>
      <c r="H1224" s="14">
        <f t="shared" si="302"/>
        <v>0</v>
      </c>
      <c r="I1224" s="14">
        <f t="shared" si="302"/>
        <v>0</v>
      </c>
      <c r="J1224" s="14">
        <f t="shared" si="302"/>
        <v>61730.030000000006</v>
      </c>
      <c r="L1224" s="19"/>
    </row>
    <row r="1225" spans="1:12" x14ac:dyDescent="0.25">
      <c r="A1225" s="10" t="s">
        <v>105</v>
      </c>
      <c r="B1225" s="14"/>
      <c r="C1225" s="14"/>
      <c r="D1225" s="14"/>
      <c r="E1225" s="14"/>
      <c r="F1225" s="14"/>
      <c r="G1225" s="14"/>
      <c r="H1225" s="14"/>
      <c r="I1225" s="14"/>
      <c r="J1225" s="14"/>
      <c r="L1225" s="19"/>
    </row>
    <row r="1226" spans="1:12" x14ac:dyDescent="0.25">
      <c r="A1226" s="9" t="s">
        <v>11</v>
      </c>
      <c r="B1226" s="14"/>
      <c r="C1226" s="14"/>
      <c r="D1226" s="14">
        <f>52512.72+4500</f>
        <v>57012.72</v>
      </c>
      <c r="E1226" s="14"/>
      <c r="F1226" s="14"/>
      <c r="G1226" s="14"/>
      <c r="H1226" s="14"/>
      <c r="I1226" s="14"/>
      <c r="J1226" s="14">
        <f t="shared" ref="J1226:J1238" si="303">SUM(B1226:I1226)</f>
        <v>57012.72</v>
      </c>
      <c r="L1226" s="19"/>
    </row>
    <row r="1227" spans="1:12" x14ac:dyDescent="0.25">
      <c r="A1227" s="9" t="s">
        <v>12</v>
      </c>
      <c r="B1227" s="14"/>
      <c r="C1227" s="14"/>
      <c r="D1227" s="14"/>
      <c r="E1227" s="14">
        <v>215.16</v>
      </c>
      <c r="F1227" s="14"/>
      <c r="G1227" s="14"/>
      <c r="H1227" s="14"/>
      <c r="I1227" s="14"/>
      <c r="J1227" s="14">
        <f t="shared" si="303"/>
        <v>215.16</v>
      </c>
      <c r="L1227" s="19"/>
    </row>
    <row r="1228" spans="1:12" x14ac:dyDescent="0.25">
      <c r="A1228" s="9" t="s">
        <v>13</v>
      </c>
      <c r="B1228" s="14"/>
      <c r="C1228" s="14"/>
      <c r="D1228" s="14"/>
      <c r="E1228" s="14"/>
      <c r="F1228" s="14"/>
      <c r="G1228" s="14"/>
      <c r="H1228" s="14"/>
      <c r="I1228" s="14"/>
      <c r="J1228" s="14">
        <f t="shared" si="303"/>
        <v>0</v>
      </c>
      <c r="L1228" s="19"/>
    </row>
    <row r="1229" spans="1:12" x14ac:dyDescent="0.25">
      <c r="A1229" s="9" t="s">
        <v>14</v>
      </c>
      <c r="B1229" s="14"/>
      <c r="C1229" s="14"/>
      <c r="D1229" s="14"/>
      <c r="E1229" s="14"/>
      <c r="F1229" s="14"/>
      <c r="G1229" s="14"/>
      <c r="H1229" s="14"/>
      <c r="I1229" s="14"/>
      <c r="J1229" s="14">
        <f t="shared" si="303"/>
        <v>0</v>
      </c>
      <c r="L1229" s="19"/>
    </row>
    <row r="1230" spans="1:12" x14ac:dyDescent="0.25">
      <c r="A1230" s="9" t="s">
        <v>15</v>
      </c>
      <c r="B1230" s="14"/>
      <c r="C1230" s="14"/>
      <c r="D1230" s="14"/>
      <c r="E1230" s="14"/>
      <c r="F1230" s="14"/>
      <c r="G1230" s="14"/>
      <c r="H1230" s="14"/>
      <c r="I1230" s="14"/>
      <c r="J1230" s="14">
        <f t="shared" si="303"/>
        <v>0</v>
      </c>
      <c r="L1230" s="19"/>
    </row>
    <row r="1231" spans="1:12" x14ac:dyDescent="0.25">
      <c r="A1231" s="9" t="s">
        <v>16</v>
      </c>
      <c r="B1231" s="14"/>
      <c r="C1231" s="14"/>
      <c r="D1231" s="14"/>
      <c r="E1231" s="14"/>
      <c r="F1231" s="14"/>
      <c r="G1231" s="14"/>
      <c r="H1231" s="14"/>
      <c r="I1231" s="14"/>
      <c r="J1231" s="14">
        <f t="shared" si="303"/>
        <v>0</v>
      </c>
      <c r="L1231" s="19"/>
    </row>
    <row r="1232" spans="1:12" x14ac:dyDescent="0.25">
      <c r="A1232" s="9" t="s">
        <v>17</v>
      </c>
      <c r="B1232" s="14"/>
      <c r="C1232" s="14"/>
      <c r="D1232" s="14"/>
      <c r="E1232" s="14"/>
      <c r="F1232" s="14"/>
      <c r="G1232" s="14"/>
      <c r="H1232" s="14"/>
      <c r="I1232" s="14"/>
      <c r="J1232" s="14">
        <f t="shared" si="303"/>
        <v>0</v>
      </c>
      <c r="L1232" s="19"/>
    </row>
    <row r="1233" spans="1:12" x14ac:dyDescent="0.25">
      <c r="A1233" s="9" t="s">
        <v>18</v>
      </c>
      <c r="B1233" s="14">
        <f>196.48+22.67</f>
        <v>219.14999999999998</v>
      </c>
      <c r="C1233" s="14"/>
      <c r="D1233" s="14"/>
      <c r="E1233" s="14"/>
      <c r="F1233" s="14"/>
      <c r="G1233" s="14"/>
      <c r="H1233" s="14"/>
      <c r="I1233" s="14"/>
      <c r="J1233" s="14">
        <f t="shared" si="303"/>
        <v>219.14999999999998</v>
      </c>
      <c r="L1233" s="19"/>
    </row>
    <row r="1234" spans="1:12" x14ac:dyDescent="0.25">
      <c r="A1234" s="9" t="s">
        <v>19</v>
      </c>
      <c r="B1234" s="14"/>
      <c r="C1234" s="14"/>
      <c r="D1234" s="14"/>
      <c r="E1234" s="14"/>
      <c r="F1234" s="14"/>
      <c r="G1234" s="14"/>
      <c r="H1234" s="14"/>
      <c r="I1234" s="14"/>
      <c r="J1234" s="14">
        <f t="shared" si="303"/>
        <v>0</v>
      </c>
      <c r="L1234" s="19"/>
    </row>
    <row r="1235" spans="1:12" x14ac:dyDescent="0.25">
      <c r="A1235" s="9" t="s">
        <v>20</v>
      </c>
      <c r="B1235" s="14"/>
      <c r="C1235" s="14"/>
      <c r="D1235" s="14"/>
      <c r="E1235" s="14"/>
      <c r="F1235" s="14"/>
      <c r="G1235" s="14"/>
      <c r="H1235" s="14"/>
      <c r="I1235" s="14"/>
      <c r="J1235" s="14">
        <f t="shared" si="303"/>
        <v>0</v>
      </c>
      <c r="L1235" s="19"/>
    </row>
    <row r="1236" spans="1:12" x14ac:dyDescent="0.25">
      <c r="A1236" s="5" t="s">
        <v>21</v>
      </c>
      <c r="B1236" s="14">
        <f t="shared" ref="B1236:I1236" si="304">SUM(B1226:B1235)</f>
        <v>219.14999999999998</v>
      </c>
      <c r="C1236" s="14">
        <f t="shared" si="304"/>
        <v>0</v>
      </c>
      <c r="D1236" s="14">
        <f t="shared" si="304"/>
        <v>57012.72</v>
      </c>
      <c r="E1236" s="14">
        <f t="shared" si="304"/>
        <v>215.16</v>
      </c>
      <c r="F1236" s="14">
        <f t="shared" si="304"/>
        <v>0</v>
      </c>
      <c r="G1236" s="14">
        <f t="shared" si="304"/>
        <v>0</v>
      </c>
      <c r="H1236" s="14">
        <f t="shared" si="304"/>
        <v>0</v>
      </c>
      <c r="I1236" s="14">
        <f t="shared" si="304"/>
        <v>0</v>
      </c>
      <c r="J1236" s="14">
        <f t="shared" si="303"/>
        <v>57447.030000000006</v>
      </c>
      <c r="L1236" s="19"/>
    </row>
    <row r="1237" spans="1:12" x14ac:dyDescent="0.25">
      <c r="A1237" s="9" t="s">
        <v>22</v>
      </c>
      <c r="B1237" s="14"/>
      <c r="C1237" s="14"/>
      <c r="D1237" s="14"/>
      <c r="E1237" s="14"/>
      <c r="F1237" s="14"/>
      <c r="G1237" s="14"/>
      <c r="H1237" s="14"/>
      <c r="I1237" s="14"/>
      <c r="J1237" s="14">
        <f t="shared" si="303"/>
        <v>0</v>
      </c>
      <c r="L1237" s="19"/>
    </row>
    <row r="1238" spans="1:12" x14ac:dyDescent="0.25">
      <c r="A1238" s="9" t="s">
        <v>23</v>
      </c>
      <c r="B1238" s="14"/>
      <c r="C1238" s="14"/>
      <c r="D1238" s="14"/>
      <c r="E1238" s="14"/>
      <c r="F1238" s="14"/>
      <c r="G1238" s="14"/>
      <c r="H1238" s="14"/>
      <c r="I1238" s="14"/>
      <c r="J1238" s="14">
        <f t="shared" si="303"/>
        <v>0</v>
      </c>
      <c r="L1238" s="19"/>
    </row>
    <row r="1239" spans="1:12" x14ac:dyDescent="0.25">
      <c r="A1239" s="5" t="s">
        <v>42</v>
      </c>
      <c r="B1239" s="14">
        <f t="shared" ref="B1239:J1239" si="305">SUM(B1237:B1238)</f>
        <v>0</v>
      </c>
      <c r="C1239" s="14">
        <f t="shared" si="305"/>
        <v>0</v>
      </c>
      <c r="D1239" s="14">
        <f t="shared" si="305"/>
        <v>0</v>
      </c>
      <c r="E1239" s="14">
        <f t="shared" si="305"/>
        <v>0</v>
      </c>
      <c r="F1239" s="14">
        <f t="shared" si="305"/>
        <v>0</v>
      </c>
      <c r="G1239" s="14">
        <f t="shared" si="305"/>
        <v>0</v>
      </c>
      <c r="H1239" s="14">
        <f t="shared" si="305"/>
        <v>0</v>
      </c>
      <c r="I1239" s="14">
        <f t="shared" si="305"/>
        <v>0</v>
      </c>
      <c r="J1239" s="14">
        <f t="shared" si="305"/>
        <v>0</v>
      </c>
      <c r="L1239" s="19"/>
    </row>
    <row r="1240" spans="1:12" x14ac:dyDescent="0.25">
      <c r="A1240" s="5" t="s">
        <v>24</v>
      </c>
      <c r="B1240" s="14">
        <f t="shared" ref="B1240:J1240" si="306">B1236+B1239</f>
        <v>219.14999999999998</v>
      </c>
      <c r="C1240" s="14">
        <f t="shared" si="306"/>
        <v>0</v>
      </c>
      <c r="D1240" s="14">
        <f t="shared" si="306"/>
        <v>57012.72</v>
      </c>
      <c r="E1240" s="14">
        <f t="shared" si="306"/>
        <v>215.16</v>
      </c>
      <c r="F1240" s="14">
        <f t="shared" si="306"/>
        <v>0</v>
      </c>
      <c r="G1240" s="14">
        <f t="shared" si="306"/>
        <v>0</v>
      </c>
      <c r="H1240" s="14">
        <f t="shared" si="306"/>
        <v>0</v>
      </c>
      <c r="I1240" s="14">
        <f t="shared" si="306"/>
        <v>0</v>
      </c>
      <c r="J1240" s="14">
        <f t="shared" si="306"/>
        <v>57447.030000000006</v>
      </c>
      <c r="L1240" s="19"/>
    </row>
    <row r="1241" spans="1:12" x14ac:dyDescent="0.25">
      <c r="A1241" s="10" t="s">
        <v>106</v>
      </c>
      <c r="B1241" s="14"/>
      <c r="C1241" s="14"/>
      <c r="D1241" s="14"/>
      <c r="E1241" s="14"/>
      <c r="F1241" s="14"/>
      <c r="G1241" s="14"/>
      <c r="H1241" s="14"/>
      <c r="I1241" s="14"/>
      <c r="J1241" s="14"/>
      <c r="L1241" s="19"/>
    </row>
    <row r="1242" spans="1:12" x14ac:dyDescent="0.25">
      <c r="A1242" s="9" t="s">
        <v>11</v>
      </c>
      <c r="B1242" s="14"/>
      <c r="C1242" s="14"/>
      <c r="D1242" s="14">
        <f>37440.19+9708.03+9708.03</f>
        <v>56856.25</v>
      </c>
      <c r="E1242" s="14"/>
      <c r="F1242" s="14"/>
      <c r="G1242" s="14"/>
      <c r="H1242" s="14"/>
      <c r="I1242" s="14"/>
      <c r="J1242" s="14">
        <f t="shared" ref="J1242:J1254" si="307">SUM(B1242:I1242)</f>
        <v>56856.25</v>
      </c>
      <c r="L1242" s="19"/>
    </row>
    <row r="1243" spans="1:12" x14ac:dyDescent="0.25">
      <c r="A1243" s="9" t="s">
        <v>12</v>
      </c>
      <c r="B1243" s="14"/>
      <c r="C1243" s="14"/>
      <c r="D1243" s="14"/>
      <c r="E1243" s="14">
        <v>215.16</v>
      </c>
      <c r="F1243" s="14"/>
      <c r="G1243" s="14"/>
      <c r="H1243" s="14"/>
      <c r="I1243" s="14"/>
      <c r="J1243" s="14">
        <f t="shared" si="307"/>
        <v>215.16</v>
      </c>
      <c r="L1243" s="19"/>
    </row>
    <row r="1244" spans="1:12" x14ac:dyDescent="0.25">
      <c r="A1244" s="9" t="s">
        <v>13</v>
      </c>
      <c r="B1244" s="14"/>
      <c r="C1244" s="14"/>
      <c r="D1244" s="14"/>
      <c r="E1244" s="14"/>
      <c r="F1244" s="14"/>
      <c r="G1244" s="14"/>
      <c r="H1244" s="14"/>
      <c r="I1244" s="14"/>
      <c r="J1244" s="14">
        <f t="shared" si="307"/>
        <v>0</v>
      </c>
      <c r="L1244" s="19"/>
    </row>
    <row r="1245" spans="1:12" x14ac:dyDescent="0.25">
      <c r="A1245" s="9" t="s">
        <v>14</v>
      </c>
      <c r="B1245" s="14"/>
      <c r="C1245" s="14"/>
      <c r="D1245" s="14"/>
      <c r="E1245" s="14"/>
      <c r="F1245" s="14"/>
      <c r="G1245" s="14"/>
      <c r="H1245" s="14"/>
      <c r="I1245" s="14"/>
      <c r="J1245" s="14">
        <f t="shared" si="307"/>
        <v>0</v>
      </c>
      <c r="L1245" s="19"/>
    </row>
    <row r="1246" spans="1:12" x14ac:dyDescent="0.25">
      <c r="A1246" s="9" t="s">
        <v>15</v>
      </c>
      <c r="B1246" s="14"/>
      <c r="C1246" s="14"/>
      <c r="D1246" s="14"/>
      <c r="E1246" s="14"/>
      <c r="F1246" s="14"/>
      <c r="G1246" s="14"/>
      <c r="H1246" s="14"/>
      <c r="I1246" s="14"/>
      <c r="J1246" s="14">
        <f t="shared" si="307"/>
        <v>0</v>
      </c>
      <c r="L1246" s="19"/>
    </row>
    <row r="1247" spans="1:12" x14ac:dyDescent="0.25">
      <c r="A1247" s="9" t="s">
        <v>16</v>
      </c>
      <c r="B1247" s="14"/>
      <c r="C1247" s="14"/>
      <c r="D1247" s="14"/>
      <c r="E1247" s="14"/>
      <c r="F1247" s="14"/>
      <c r="G1247" s="14"/>
      <c r="H1247" s="14"/>
      <c r="I1247" s="14"/>
      <c r="J1247" s="14">
        <f t="shared" si="307"/>
        <v>0</v>
      </c>
      <c r="L1247" s="19"/>
    </row>
    <row r="1248" spans="1:12" x14ac:dyDescent="0.25">
      <c r="A1248" s="9" t="s">
        <v>17</v>
      </c>
      <c r="B1248" s="14"/>
      <c r="C1248" s="14"/>
      <c r="D1248" s="14"/>
      <c r="E1248" s="14"/>
      <c r="F1248" s="14"/>
      <c r="G1248" s="14"/>
      <c r="H1248" s="14"/>
      <c r="I1248" s="14"/>
      <c r="J1248" s="14">
        <f t="shared" si="307"/>
        <v>0</v>
      </c>
      <c r="L1248" s="19"/>
    </row>
    <row r="1249" spans="1:12" x14ac:dyDescent="0.25">
      <c r="A1249" s="9" t="s">
        <v>18</v>
      </c>
      <c r="B1249" s="14"/>
      <c r="C1249" s="14"/>
      <c r="D1249" s="14"/>
      <c r="E1249" s="14"/>
      <c r="F1249" s="14"/>
      <c r="G1249" s="14"/>
      <c r="H1249" s="14"/>
      <c r="I1249" s="14"/>
      <c r="J1249" s="14">
        <f t="shared" si="307"/>
        <v>0</v>
      </c>
      <c r="L1249" s="19"/>
    </row>
    <row r="1250" spans="1:12" x14ac:dyDescent="0.25">
      <c r="A1250" s="9" t="s">
        <v>19</v>
      </c>
      <c r="B1250" s="14"/>
      <c r="C1250" s="14"/>
      <c r="D1250" s="14"/>
      <c r="E1250" s="14"/>
      <c r="F1250" s="14"/>
      <c r="G1250" s="14"/>
      <c r="H1250" s="14"/>
      <c r="I1250" s="14"/>
      <c r="J1250" s="14">
        <f t="shared" si="307"/>
        <v>0</v>
      </c>
      <c r="L1250" s="19"/>
    </row>
    <row r="1251" spans="1:12" x14ac:dyDescent="0.25">
      <c r="A1251" s="9" t="s">
        <v>20</v>
      </c>
      <c r="B1251" s="14"/>
      <c r="C1251" s="14"/>
      <c r="D1251" s="14"/>
      <c r="E1251" s="14"/>
      <c r="F1251" s="14"/>
      <c r="G1251" s="14"/>
      <c r="H1251" s="14"/>
      <c r="I1251" s="14"/>
      <c r="J1251" s="14">
        <f t="shared" si="307"/>
        <v>0</v>
      </c>
      <c r="L1251" s="19"/>
    </row>
    <row r="1252" spans="1:12" x14ac:dyDescent="0.25">
      <c r="A1252" s="5" t="s">
        <v>21</v>
      </c>
      <c r="B1252" s="14">
        <f t="shared" ref="B1252:I1252" si="308">SUM(B1242:B1251)</f>
        <v>0</v>
      </c>
      <c r="C1252" s="14">
        <f t="shared" si="308"/>
        <v>0</v>
      </c>
      <c r="D1252" s="14">
        <f t="shared" si="308"/>
        <v>56856.25</v>
      </c>
      <c r="E1252" s="14">
        <f t="shared" si="308"/>
        <v>215.16</v>
      </c>
      <c r="F1252" s="14">
        <f t="shared" si="308"/>
        <v>0</v>
      </c>
      <c r="G1252" s="14">
        <f t="shared" si="308"/>
        <v>0</v>
      </c>
      <c r="H1252" s="14">
        <f t="shared" si="308"/>
        <v>0</v>
      </c>
      <c r="I1252" s="14">
        <f t="shared" si="308"/>
        <v>0</v>
      </c>
      <c r="J1252" s="14">
        <f t="shared" si="307"/>
        <v>57071.41</v>
      </c>
      <c r="L1252" s="19"/>
    </row>
    <row r="1253" spans="1:12" x14ac:dyDescent="0.25">
      <c r="A1253" s="9" t="s">
        <v>22</v>
      </c>
      <c r="B1253" s="14"/>
      <c r="C1253" s="14"/>
      <c r="D1253" s="14"/>
      <c r="E1253" s="14"/>
      <c r="F1253" s="14"/>
      <c r="G1253" s="14"/>
      <c r="H1253" s="14"/>
      <c r="I1253" s="14"/>
      <c r="J1253" s="14">
        <f t="shared" si="307"/>
        <v>0</v>
      </c>
      <c r="L1253" s="19"/>
    </row>
    <row r="1254" spans="1:12" x14ac:dyDescent="0.25">
      <c r="A1254" s="9" t="s">
        <v>23</v>
      </c>
      <c r="B1254" s="14"/>
      <c r="C1254" s="14"/>
      <c r="D1254" s="14"/>
      <c r="E1254" s="14"/>
      <c r="F1254" s="14"/>
      <c r="G1254" s="14"/>
      <c r="H1254" s="14"/>
      <c r="I1254" s="14"/>
      <c r="J1254" s="14">
        <f t="shared" si="307"/>
        <v>0</v>
      </c>
      <c r="L1254" s="19"/>
    </row>
    <row r="1255" spans="1:12" x14ac:dyDescent="0.25">
      <c r="A1255" s="5" t="s">
        <v>42</v>
      </c>
      <c r="B1255" s="14">
        <f t="shared" ref="B1255:J1255" si="309">SUM(B1253:B1254)</f>
        <v>0</v>
      </c>
      <c r="C1255" s="14">
        <f t="shared" si="309"/>
        <v>0</v>
      </c>
      <c r="D1255" s="14">
        <f t="shared" si="309"/>
        <v>0</v>
      </c>
      <c r="E1255" s="14">
        <f t="shared" si="309"/>
        <v>0</v>
      </c>
      <c r="F1255" s="14">
        <f t="shared" si="309"/>
        <v>0</v>
      </c>
      <c r="G1255" s="14">
        <f t="shared" si="309"/>
        <v>0</v>
      </c>
      <c r="H1255" s="14">
        <f t="shared" si="309"/>
        <v>0</v>
      </c>
      <c r="I1255" s="14">
        <f t="shared" si="309"/>
        <v>0</v>
      </c>
      <c r="J1255" s="14">
        <f t="shared" si="309"/>
        <v>0</v>
      </c>
      <c r="L1255" s="19"/>
    </row>
    <row r="1256" spans="1:12" x14ac:dyDescent="0.25">
      <c r="A1256" s="5" t="s">
        <v>24</v>
      </c>
      <c r="B1256" s="14">
        <f t="shared" ref="B1256:J1256" si="310">B1252+B1255</f>
        <v>0</v>
      </c>
      <c r="C1256" s="14">
        <f t="shared" si="310"/>
        <v>0</v>
      </c>
      <c r="D1256" s="14">
        <f t="shared" si="310"/>
        <v>56856.25</v>
      </c>
      <c r="E1256" s="14">
        <f t="shared" si="310"/>
        <v>215.16</v>
      </c>
      <c r="F1256" s="14">
        <f t="shared" si="310"/>
        <v>0</v>
      </c>
      <c r="G1256" s="14">
        <f t="shared" si="310"/>
        <v>0</v>
      </c>
      <c r="H1256" s="14">
        <f t="shared" si="310"/>
        <v>0</v>
      </c>
      <c r="I1256" s="14">
        <f t="shared" si="310"/>
        <v>0</v>
      </c>
      <c r="J1256" s="14">
        <f t="shared" si="310"/>
        <v>57071.41</v>
      </c>
      <c r="L1256" s="19"/>
    </row>
    <row r="1257" spans="1:12" x14ac:dyDescent="0.25">
      <c r="A1257" s="10" t="s">
        <v>107</v>
      </c>
      <c r="B1257" s="14"/>
      <c r="C1257" s="14"/>
      <c r="D1257" s="14"/>
      <c r="E1257" s="14"/>
      <c r="F1257" s="14"/>
      <c r="G1257" s="14"/>
      <c r="H1257" s="14"/>
      <c r="I1257" s="14"/>
      <c r="J1257" s="14"/>
      <c r="L1257" s="19"/>
    </row>
    <row r="1258" spans="1:12" x14ac:dyDescent="0.25">
      <c r="A1258" s="9" t="s">
        <v>11</v>
      </c>
      <c r="B1258" s="14"/>
      <c r="C1258" s="14"/>
      <c r="D1258" s="14">
        <f>43672.77+889.65+4700</f>
        <v>49262.42</v>
      </c>
      <c r="E1258" s="14"/>
      <c r="F1258" s="14"/>
      <c r="G1258" s="14"/>
      <c r="H1258" s="14"/>
      <c r="I1258" s="14"/>
      <c r="J1258" s="14">
        <f t="shared" ref="J1258:J1270" si="311">SUM(B1258:I1258)</f>
        <v>49262.42</v>
      </c>
      <c r="L1258" s="19"/>
    </row>
    <row r="1259" spans="1:12" x14ac:dyDescent="0.25">
      <c r="A1259" s="9" t="s">
        <v>12</v>
      </c>
      <c r="B1259" s="14"/>
      <c r="C1259" s="14"/>
      <c r="D1259" s="14"/>
      <c r="E1259" s="14">
        <v>215.16</v>
      </c>
      <c r="F1259" s="14"/>
      <c r="G1259" s="14"/>
      <c r="H1259" s="14"/>
      <c r="I1259" s="14"/>
      <c r="J1259" s="14">
        <f t="shared" si="311"/>
        <v>215.16</v>
      </c>
      <c r="L1259" s="19"/>
    </row>
    <row r="1260" spans="1:12" x14ac:dyDescent="0.25">
      <c r="A1260" s="9" t="s">
        <v>13</v>
      </c>
      <c r="B1260" s="14"/>
      <c r="C1260" s="14"/>
      <c r="D1260" s="14"/>
      <c r="E1260" s="14"/>
      <c r="F1260" s="14"/>
      <c r="G1260" s="14"/>
      <c r="H1260" s="14"/>
      <c r="I1260" s="14"/>
      <c r="J1260" s="14">
        <f t="shared" si="311"/>
        <v>0</v>
      </c>
      <c r="L1260" s="19"/>
    </row>
    <row r="1261" spans="1:12" x14ac:dyDescent="0.25">
      <c r="A1261" s="9" t="s">
        <v>14</v>
      </c>
      <c r="B1261" s="14"/>
      <c r="C1261" s="14"/>
      <c r="D1261" s="14"/>
      <c r="E1261" s="14"/>
      <c r="F1261" s="14"/>
      <c r="G1261" s="14"/>
      <c r="H1261" s="14"/>
      <c r="I1261" s="14"/>
      <c r="J1261" s="14">
        <f t="shared" si="311"/>
        <v>0</v>
      </c>
      <c r="L1261" s="19"/>
    </row>
    <row r="1262" spans="1:12" x14ac:dyDescent="0.25">
      <c r="A1262" s="9" t="s">
        <v>15</v>
      </c>
      <c r="B1262" s="14"/>
      <c r="C1262" s="14"/>
      <c r="D1262" s="14">
        <v>5103.2</v>
      </c>
      <c r="E1262" s="14"/>
      <c r="F1262" s="14"/>
      <c r="G1262" s="14"/>
      <c r="H1262" s="14"/>
      <c r="I1262" s="14"/>
      <c r="J1262" s="14">
        <f t="shared" si="311"/>
        <v>5103.2</v>
      </c>
      <c r="L1262" s="19"/>
    </row>
    <row r="1263" spans="1:12" x14ac:dyDescent="0.25">
      <c r="A1263" s="9" t="s">
        <v>16</v>
      </c>
      <c r="B1263" s="14"/>
      <c r="C1263" s="14"/>
      <c r="D1263" s="14"/>
      <c r="E1263" s="14"/>
      <c r="F1263" s="14"/>
      <c r="G1263" s="14"/>
      <c r="H1263" s="14"/>
      <c r="I1263" s="14"/>
      <c r="J1263" s="14">
        <f t="shared" si="311"/>
        <v>0</v>
      </c>
      <c r="L1263" s="19"/>
    </row>
    <row r="1264" spans="1:12" x14ac:dyDescent="0.25">
      <c r="A1264" s="9" t="s">
        <v>17</v>
      </c>
      <c r="B1264" s="14"/>
      <c r="C1264" s="14"/>
      <c r="D1264" s="14"/>
      <c r="E1264" s="14"/>
      <c r="F1264" s="14"/>
      <c r="G1264" s="14"/>
      <c r="H1264" s="14"/>
      <c r="I1264" s="14"/>
      <c r="J1264" s="14">
        <f t="shared" si="311"/>
        <v>0</v>
      </c>
      <c r="L1264" s="19"/>
    </row>
    <row r="1265" spans="1:12" x14ac:dyDescent="0.25">
      <c r="A1265" s="9" t="s">
        <v>18</v>
      </c>
      <c r="B1265" s="14">
        <f>214.9+-35.67</f>
        <v>179.23000000000002</v>
      </c>
      <c r="C1265" s="14"/>
      <c r="D1265" s="14"/>
      <c r="E1265" s="14"/>
      <c r="F1265" s="14"/>
      <c r="G1265" s="14"/>
      <c r="H1265" s="14"/>
      <c r="I1265" s="14"/>
      <c r="J1265" s="14">
        <f t="shared" si="311"/>
        <v>179.23000000000002</v>
      </c>
      <c r="L1265" s="19"/>
    </row>
    <row r="1266" spans="1:12" x14ac:dyDescent="0.25">
      <c r="A1266" s="9" t="s">
        <v>19</v>
      </c>
      <c r="B1266" s="14"/>
      <c r="C1266" s="14"/>
      <c r="D1266" s="14"/>
      <c r="E1266" s="14"/>
      <c r="F1266" s="14"/>
      <c r="G1266" s="14"/>
      <c r="H1266" s="14"/>
      <c r="I1266" s="14"/>
      <c r="J1266" s="14">
        <f t="shared" si="311"/>
        <v>0</v>
      </c>
      <c r="L1266" s="19"/>
    </row>
    <row r="1267" spans="1:12" x14ac:dyDescent="0.25">
      <c r="A1267" s="9" t="s">
        <v>20</v>
      </c>
      <c r="B1267" s="14"/>
      <c r="C1267" s="14"/>
      <c r="D1267" s="14"/>
      <c r="E1267" s="14"/>
      <c r="F1267" s="14"/>
      <c r="G1267" s="14"/>
      <c r="H1267" s="14"/>
      <c r="I1267" s="14"/>
      <c r="J1267" s="14">
        <f t="shared" si="311"/>
        <v>0</v>
      </c>
      <c r="L1267" s="19"/>
    </row>
    <row r="1268" spans="1:12" x14ac:dyDescent="0.25">
      <c r="A1268" s="5" t="s">
        <v>21</v>
      </c>
      <c r="B1268" s="14">
        <f t="shared" ref="B1268:I1268" si="312">SUM(B1258:B1267)</f>
        <v>179.23000000000002</v>
      </c>
      <c r="C1268" s="14">
        <f t="shared" si="312"/>
        <v>0</v>
      </c>
      <c r="D1268" s="14">
        <f t="shared" si="312"/>
        <v>54365.619999999995</v>
      </c>
      <c r="E1268" s="14">
        <f t="shared" si="312"/>
        <v>215.16</v>
      </c>
      <c r="F1268" s="14">
        <f t="shared" si="312"/>
        <v>0</v>
      </c>
      <c r="G1268" s="14">
        <f t="shared" si="312"/>
        <v>0</v>
      </c>
      <c r="H1268" s="14">
        <f t="shared" si="312"/>
        <v>0</v>
      </c>
      <c r="I1268" s="14">
        <f t="shared" si="312"/>
        <v>0</v>
      </c>
      <c r="J1268" s="14">
        <f t="shared" si="311"/>
        <v>54760.01</v>
      </c>
      <c r="L1268" s="19"/>
    </row>
    <row r="1269" spans="1:12" x14ac:dyDescent="0.25">
      <c r="A1269" s="9" t="s">
        <v>22</v>
      </c>
      <c r="B1269" s="14"/>
      <c r="C1269" s="14"/>
      <c r="D1269" s="14"/>
      <c r="E1269" s="14"/>
      <c r="F1269" s="14"/>
      <c r="G1269" s="14"/>
      <c r="H1269" s="14"/>
      <c r="I1269" s="14"/>
      <c r="J1269" s="14">
        <f t="shared" si="311"/>
        <v>0</v>
      </c>
      <c r="L1269" s="19"/>
    </row>
    <row r="1270" spans="1:12" x14ac:dyDescent="0.25">
      <c r="A1270" s="9" t="s">
        <v>23</v>
      </c>
      <c r="B1270" s="14"/>
      <c r="C1270" s="14"/>
      <c r="D1270" s="14"/>
      <c r="E1270" s="14"/>
      <c r="F1270" s="14"/>
      <c r="G1270" s="14"/>
      <c r="H1270" s="14"/>
      <c r="I1270" s="14"/>
      <c r="J1270" s="14">
        <f t="shared" si="311"/>
        <v>0</v>
      </c>
      <c r="L1270" s="19"/>
    </row>
    <row r="1271" spans="1:12" x14ac:dyDescent="0.25">
      <c r="A1271" s="5" t="s">
        <v>42</v>
      </c>
      <c r="B1271" s="14">
        <f t="shared" ref="B1271:J1271" si="313">SUM(B1269:B1270)</f>
        <v>0</v>
      </c>
      <c r="C1271" s="14">
        <f t="shared" si="313"/>
        <v>0</v>
      </c>
      <c r="D1271" s="14">
        <f t="shared" si="313"/>
        <v>0</v>
      </c>
      <c r="E1271" s="14">
        <f t="shared" si="313"/>
        <v>0</v>
      </c>
      <c r="F1271" s="14">
        <f t="shared" si="313"/>
        <v>0</v>
      </c>
      <c r="G1271" s="14">
        <f t="shared" si="313"/>
        <v>0</v>
      </c>
      <c r="H1271" s="14">
        <f t="shared" si="313"/>
        <v>0</v>
      </c>
      <c r="I1271" s="14">
        <f t="shared" si="313"/>
        <v>0</v>
      </c>
      <c r="J1271" s="14">
        <f t="shared" si="313"/>
        <v>0</v>
      </c>
      <c r="L1271" s="19"/>
    </row>
    <row r="1272" spans="1:12" x14ac:dyDescent="0.25">
      <c r="A1272" s="5" t="s">
        <v>24</v>
      </c>
      <c r="B1272" s="14">
        <f t="shared" ref="B1272:J1272" si="314">B1268+B1271</f>
        <v>179.23000000000002</v>
      </c>
      <c r="C1272" s="14">
        <f t="shared" si="314"/>
        <v>0</v>
      </c>
      <c r="D1272" s="14">
        <f t="shared" si="314"/>
        <v>54365.619999999995</v>
      </c>
      <c r="E1272" s="14">
        <f t="shared" si="314"/>
        <v>215.16</v>
      </c>
      <c r="F1272" s="14">
        <f t="shared" si="314"/>
        <v>0</v>
      </c>
      <c r="G1272" s="14">
        <f t="shared" si="314"/>
        <v>0</v>
      </c>
      <c r="H1272" s="14">
        <f t="shared" si="314"/>
        <v>0</v>
      </c>
      <c r="I1272" s="14">
        <f t="shared" si="314"/>
        <v>0</v>
      </c>
      <c r="J1272" s="14">
        <f t="shared" si="314"/>
        <v>54760.01</v>
      </c>
      <c r="L1272" s="19"/>
    </row>
    <row r="1273" spans="1:12" x14ac:dyDescent="0.25">
      <c r="A1273" s="10" t="s">
        <v>108</v>
      </c>
      <c r="B1273" s="14"/>
      <c r="C1273" s="14"/>
      <c r="D1273" s="14"/>
      <c r="E1273" s="14"/>
      <c r="F1273" s="14"/>
      <c r="G1273" s="14"/>
      <c r="H1273" s="14"/>
      <c r="I1273" s="14"/>
      <c r="J1273" s="14"/>
      <c r="L1273" s="19"/>
    </row>
    <row r="1274" spans="1:12" x14ac:dyDescent="0.25">
      <c r="A1274" s="9" t="s">
        <v>11</v>
      </c>
      <c r="B1274" s="14"/>
      <c r="C1274" s="14"/>
      <c r="D1274" s="14">
        <f>46219.76+5767.28+5767.28</f>
        <v>57754.32</v>
      </c>
      <c r="E1274" s="14"/>
      <c r="F1274" s="14"/>
      <c r="G1274" s="14"/>
      <c r="H1274" s="14"/>
      <c r="I1274" s="14"/>
      <c r="J1274" s="14">
        <f t="shared" ref="J1274:J1286" si="315">SUM(B1274:I1274)</f>
        <v>57754.32</v>
      </c>
      <c r="L1274" s="19"/>
    </row>
    <row r="1275" spans="1:12" x14ac:dyDescent="0.25">
      <c r="A1275" s="9" t="s">
        <v>12</v>
      </c>
      <c r="B1275" s="14"/>
      <c r="C1275" s="14"/>
      <c r="D1275" s="14"/>
      <c r="E1275" s="14">
        <v>215.16</v>
      </c>
      <c r="F1275" s="14"/>
      <c r="G1275" s="14"/>
      <c r="H1275" s="14"/>
      <c r="I1275" s="14"/>
      <c r="J1275" s="14">
        <f t="shared" si="315"/>
        <v>215.16</v>
      </c>
      <c r="L1275" s="19"/>
    </row>
    <row r="1276" spans="1:12" x14ac:dyDescent="0.25">
      <c r="A1276" s="9" t="s">
        <v>13</v>
      </c>
      <c r="B1276" s="14"/>
      <c r="C1276" s="14"/>
      <c r="D1276" s="14"/>
      <c r="E1276" s="14"/>
      <c r="F1276" s="14"/>
      <c r="G1276" s="14"/>
      <c r="H1276" s="14"/>
      <c r="I1276" s="14"/>
      <c r="J1276" s="14">
        <f t="shared" si="315"/>
        <v>0</v>
      </c>
      <c r="L1276" s="19"/>
    </row>
    <row r="1277" spans="1:12" x14ac:dyDescent="0.25">
      <c r="A1277" s="9" t="s">
        <v>14</v>
      </c>
      <c r="B1277" s="14"/>
      <c r="C1277" s="14"/>
      <c r="D1277" s="14"/>
      <c r="E1277" s="14"/>
      <c r="F1277" s="14"/>
      <c r="G1277" s="14"/>
      <c r="H1277" s="14"/>
      <c r="I1277" s="14"/>
      <c r="J1277" s="14">
        <f t="shared" si="315"/>
        <v>0</v>
      </c>
      <c r="L1277" s="19"/>
    </row>
    <row r="1278" spans="1:12" x14ac:dyDescent="0.25">
      <c r="A1278" s="9" t="s">
        <v>15</v>
      </c>
      <c r="B1278" s="14"/>
      <c r="C1278" s="14"/>
      <c r="D1278" s="14"/>
      <c r="E1278" s="14"/>
      <c r="F1278" s="14"/>
      <c r="G1278" s="14"/>
      <c r="H1278" s="14"/>
      <c r="I1278" s="14"/>
      <c r="J1278" s="14">
        <f t="shared" si="315"/>
        <v>0</v>
      </c>
      <c r="L1278" s="19"/>
    </row>
    <row r="1279" spans="1:12" x14ac:dyDescent="0.25">
      <c r="A1279" s="9" t="s">
        <v>16</v>
      </c>
      <c r="B1279" s="14"/>
      <c r="C1279" s="14"/>
      <c r="D1279" s="14"/>
      <c r="E1279" s="14"/>
      <c r="F1279" s="14"/>
      <c r="G1279" s="14"/>
      <c r="H1279" s="14"/>
      <c r="I1279" s="14"/>
      <c r="J1279" s="14">
        <f t="shared" si="315"/>
        <v>0</v>
      </c>
      <c r="L1279" s="19"/>
    </row>
    <row r="1280" spans="1:12" x14ac:dyDescent="0.25">
      <c r="A1280" s="9" t="s">
        <v>17</v>
      </c>
      <c r="B1280" s="14"/>
      <c r="C1280" s="14"/>
      <c r="D1280" s="14"/>
      <c r="E1280" s="14"/>
      <c r="F1280" s="14"/>
      <c r="G1280" s="14"/>
      <c r="H1280" s="14"/>
      <c r="I1280" s="14"/>
      <c r="J1280" s="14">
        <f t="shared" si="315"/>
        <v>0</v>
      </c>
      <c r="L1280" s="19"/>
    </row>
    <row r="1281" spans="1:12" x14ac:dyDescent="0.25">
      <c r="A1281" s="9" t="s">
        <v>18</v>
      </c>
      <c r="B1281" s="14">
        <f>70.61+11.76</f>
        <v>82.37</v>
      </c>
      <c r="C1281" s="14"/>
      <c r="D1281" s="14"/>
      <c r="E1281" s="14"/>
      <c r="F1281" s="14"/>
      <c r="G1281" s="14"/>
      <c r="H1281" s="14"/>
      <c r="I1281" s="14"/>
      <c r="J1281" s="14">
        <f t="shared" si="315"/>
        <v>82.37</v>
      </c>
      <c r="L1281" s="19"/>
    </row>
    <row r="1282" spans="1:12" x14ac:dyDescent="0.25">
      <c r="A1282" s="9" t="s">
        <v>19</v>
      </c>
      <c r="B1282" s="14"/>
      <c r="C1282" s="14"/>
      <c r="D1282" s="14"/>
      <c r="E1282" s="14"/>
      <c r="F1282" s="14"/>
      <c r="G1282" s="14"/>
      <c r="H1282" s="14"/>
      <c r="I1282" s="14"/>
      <c r="J1282" s="14">
        <f t="shared" si="315"/>
        <v>0</v>
      </c>
      <c r="L1282" s="19"/>
    </row>
    <row r="1283" spans="1:12" x14ac:dyDescent="0.25">
      <c r="A1283" s="9" t="s">
        <v>20</v>
      </c>
      <c r="B1283" s="14"/>
      <c r="C1283" s="14"/>
      <c r="D1283" s="14"/>
      <c r="E1283" s="14"/>
      <c r="F1283" s="14"/>
      <c r="G1283" s="14"/>
      <c r="H1283" s="14"/>
      <c r="I1283" s="14"/>
      <c r="J1283" s="14">
        <f t="shared" si="315"/>
        <v>0</v>
      </c>
      <c r="L1283" s="19"/>
    </row>
    <row r="1284" spans="1:12" x14ac:dyDescent="0.25">
      <c r="A1284" s="5" t="s">
        <v>21</v>
      </c>
      <c r="B1284" s="14">
        <f t="shared" ref="B1284:I1284" si="316">SUM(B1274:B1283)</f>
        <v>82.37</v>
      </c>
      <c r="C1284" s="14">
        <f t="shared" si="316"/>
        <v>0</v>
      </c>
      <c r="D1284" s="14">
        <f t="shared" si="316"/>
        <v>57754.32</v>
      </c>
      <c r="E1284" s="14">
        <f t="shared" si="316"/>
        <v>215.16</v>
      </c>
      <c r="F1284" s="14">
        <f t="shared" si="316"/>
        <v>0</v>
      </c>
      <c r="G1284" s="14">
        <f t="shared" si="316"/>
        <v>0</v>
      </c>
      <c r="H1284" s="14">
        <f t="shared" si="316"/>
        <v>0</v>
      </c>
      <c r="I1284" s="14">
        <f t="shared" si="316"/>
        <v>0</v>
      </c>
      <c r="J1284" s="14">
        <f t="shared" si="315"/>
        <v>58051.850000000006</v>
      </c>
      <c r="L1284" s="19"/>
    </row>
    <row r="1285" spans="1:12" x14ac:dyDescent="0.25">
      <c r="A1285" s="9" t="s">
        <v>22</v>
      </c>
      <c r="B1285" s="14"/>
      <c r="C1285" s="14"/>
      <c r="D1285" s="14"/>
      <c r="E1285" s="14"/>
      <c r="F1285" s="14"/>
      <c r="G1285" s="14"/>
      <c r="H1285" s="14"/>
      <c r="I1285" s="14"/>
      <c r="J1285" s="14">
        <f t="shared" si="315"/>
        <v>0</v>
      </c>
      <c r="L1285" s="19"/>
    </row>
    <row r="1286" spans="1:12" x14ac:dyDescent="0.25">
      <c r="A1286" s="9" t="s">
        <v>23</v>
      </c>
      <c r="B1286" s="14"/>
      <c r="C1286" s="14"/>
      <c r="D1286" s="14"/>
      <c r="E1286" s="14"/>
      <c r="F1286" s="14"/>
      <c r="G1286" s="14"/>
      <c r="H1286" s="14"/>
      <c r="I1286" s="14"/>
      <c r="J1286" s="14">
        <f t="shared" si="315"/>
        <v>0</v>
      </c>
      <c r="L1286" s="19"/>
    </row>
    <row r="1287" spans="1:12" x14ac:dyDescent="0.25">
      <c r="A1287" s="5" t="s">
        <v>42</v>
      </c>
      <c r="B1287" s="14">
        <f t="shared" ref="B1287:J1287" si="317">SUM(B1285:B1286)</f>
        <v>0</v>
      </c>
      <c r="C1287" s="14">
        <f t="shared" si="317"/>
        <v>0</v>
      </c>
      <c r="D1287" s="14">
        <f t="shared" si="317"/>
        <v>0</v>
      </c>
      <c r="E1287" s="14">
        <f t="shared" si="317"/>
        <v>0</v>
      </c>
      <c r="F1287" s="14">
        <f t="shared" si="317"/>
        <v>0</v>
      </c>
      <c r="G1287" s="14">
        <f t="shared" si="317"/>
        <v>0</v>
      </c>
      <c r="H1287" s="14">
        <f t="shared" si="317"/>
        <v>0</v>
      </c>
      <c r="I1287" s="14">
        <f t="shared" si="317"/>
        <v>0</v>
      </c>
      <c r="J1287" s="14">
        <f t="shared" si="317"/>
        <v>0</v>
      </c>
      <c r="L1287" s="19"/>
    </row>
    <row r="1288" spans="1:12" x14ac:dyDescent="0.25">
      <c r="A1288" s="5" t="s">
        <v>24</v>
      </c>
      <c r="B1288" s="14">
        <f t="shared" ref="B1288:J1288" si="318">B1284+B1287</f>
        <v>82.37</v>
      </c>
      <c r="C1288" s="14">
        <f t="shared" si="318"/>
        <v>0</v>
      </c>
      <c r="D1288" s="14">
        <f t="shared" si="318"/>
        <v>57754.32</v>
      </c>
      <c r="E1288" s="14">
        <f t="shared" si="318"/>
        <v>215.16</v>
      </c>
      <c r="F1288" s="14">
        <f t="shared" si="318"/>
        <v>0</v>
      </c>
      <c r="G1288" s="14">
        <f t="shared" si="318"/>
        <v>0</v>
      </c>
      <c r="H1288" s="14">
        <f t="shared" si="318"/>
        <v>0</v>
      </c>
      <c r="I1288" s="14">
        <f t="shared" si="318"/>
        <v>0</v>
      </c>
      <c r="J1288" s="14">
        <f t="shared" si="318"/>
        <v>58051.850000000006</v>
      </c>
      <c r="L1288" s="19"/>
    </row>
    <row r="1289" spans="1:12" x14ac:dyDescent="0.25">
      <c r="A1289" s="10" t="s">
        <v>109</v>
      </c>
      <c r="B1289" s="14"/>
      <c r="C1289" s="14"/>
      <c r="D1289" s="14"/>
      <c r="E1289" s="14"/>
      <c r="F1289" s="14"/>
      <c r="G1289" s="14"/>
      <c r="H1289" s="14"/>
      <c r="I1289" s="14"/>
      <c r="J1289" s="14"/>
      <c r="L1289" s="19"/>
    </row>
    <row r="1290" spans="1:12" x14ac:dyDescent="0.25">
      <c r="A1290" s="9" t="s">
        <v>11</v>
      </c>
      <c r="B1290" s="14"/>
      <c r="C1290" s="14"/>
      <c r="D1290" s="14">
        <f>42834.16+5115.46+5115.4</f>
        <v>53065.020000000004</v>
      </c>
      <c r="E1290" s="14"/>
      <c r="F1290" s="14"/>
      <c r="G1290" s="14"/>
      <c r="H1290" s="14"/>
      <c r="I1290" s="14"/>
      <c r="J1290" s="14">
        <f t="shared" ref="J1290:J1302" si="319">SUM(B1290:I1290)</f>
        <v>53065.020000000004</v>
      </c>
      <c r="L1290" s="19"/>
    </row>
    <row r="1291" spans="1:12" x14ac:dyDescent="0.25">
      <c r="A1291" s="9" t="s">
        <v>12</v>
      </c>
      <c r="B1291" s="14"/>
      <c r="C1291" s="14"/>
      <c r="D1291" s="14"/>
      <c r="E1291" s="14"/>
      <c r="F1291" s="14"/>
      <c r="G1291" s="14"/>
      <c r="H1291" s="14"/>
      <c r="I1291" s="14"/>
      <c r="J1291" s="14">
        <f t="shared" si="319"/>
        <v>0</v>
      </c>
      <c r="L1291" s="19"/>
    </row>
    <row r="1292" spans="1:12" x14ac:dyDescent="0.25">
      <c r="A1292" s="9" t="s">
        <v>13</v>
      </c>
      <c r="B1292" s="14"/>
      <c r="C1292" s="14"/>
      <c r="D1292" s="14"/>
      <c r="E1292" s="14"/>
      <c r="F1292" s="14"/>
      <c r="G1292" s="14"/>
      <c r="H1292" s="14"/>
      <c r="I1292" s="14"/>
      <c r="J1292" s="14">
        <f t="shared" si="319"/>
        <v>0</v>
      </c>
      <c r="L1292" s="19"/>
    </row>
    <row r="1293" spans="1:12" x14ac:dyDescent="0.25">
      <c r="A1293" s="9" t="s">
        <v>14</v>
      </c>
      <c r="B1293" s="14"/>
      <c r="C1293" s="14"/>
      <c r="D1293" s="14"/>
      <c r="E1293" s="14"/>
      <c r="F1293" s="14"/>
      <c r="G1293" s="14"/>
      <c r="H1293" s="14"/>
      <c r="I1293" s="14"/>
      <c r="J1293" s="14">
        <f t="shared" si="319"/>
        <v>0</v>
      </c>
      <c r="L1293" s="19"/>
    </row>
    <row r="1294" spans="1:12" x14ac:dyDescent="0.25">
      <c r="A1294" s="9" t="s">
        <v>15</v>
      </c>
      <c r="B1294" s="14"/>
      <c r="C1294" s="14"/>
      <c r="D1294" s="14"/>
      <c r="E1294" s="14"/>
      <c r="F1294" s="14"/>
      <c r="G1294" s="14"/>
      <c r="H1294" s="14"/>
      <c r="I1294" s="14"/>
      <c r="J1294" s="14">
        <f t="shared" si="319"/>
        <v>0</v>
      </c>
      <c r="L1294" s="19"/>
    </row>
    <row r="1295" spans="1:12" x14ac:dyDescent="0.25">
      <c r="A1295" s="9" t="s">
        <v>16</v>
      </c>
      <c r="B1295" s="14"/>
      <c r="C1295" s="14"/>
      <c r="D1295" s="14"/>
      <c r="E1295" s="14"/>
      <c r="F1295" s="14"/>
      <c r="G1295" s="14"/>
      <c r="H1295" s="14"/>
      <c r="I1295" s="14"/>
      <c r="J1295" s="14">
        <f t="shared" si="319"/>
        <v>0</v>
      </c>
      <c r="L1295" s="19"/>
    </row>
    <row r="1296" spans="1:12" x14ac:dyDescent="0.25">
      <c r="A1296" s="9" t="s">
        <v>17</v>
      </c>
      <c r="B1296" s="14"/>
      <c r="C1296" s="14"/>
      <c r="D1296" s="14"/>
      <c r="E1296" s="14"/>
      <c r="F1296" s="14"/>
      <c r="G1296" s="14"/>
      <c r="H1296" s="14"/>
      <c r="I1296" s="14"/>
      <c r="J1296" s="14">
        <f t="shared" si="319"/>
        <v>0</v>
      </c>
      <c r="L1296" s="19"/>
    </row>
    <row r="1297" spans="1:12" x14ac:dyDescent="0.25">
      <c r="A1297" s="9" t="s">
        <v>18</v>
      </c>
      <c r="B1297" s="14">
        <f>89.03+14.33</f>
        <v>103.36</v>
      </c>
      <c r="C1297" s="14"/>
      <c r="D1297" s="14"/>
      <c r="E1297" s="14"/>
      <c r="F1297" s="14"/>
      <c r="G1297" s="14"/>
      <c r="H1297" s="14"/>
      <c r="I1297" s="14"/>
      <c r="J1297" s="14">
        <f t="shared" si="319"/>
        <v>103.36</v>
      </c>
      <c r="L1297" s="19"/>
    </row>
    <row r="1298" spans="1:12" x14ac:dyDescent="0.25">
      <c r="A1298" s="9" t="s">
        <v>19</v>
      </c>
      <c r="B1298" s="14"/>
      <c r="C1298" s="14"/>
      <c r="D1298" s="14"/>
      <c r="E1298" s="14"/>
      <c r="F1298" s="14"/>
      <c r="G1298" s="14"/>
      <c r="H1298" s="14"/>
      <c r="I1298" s="14"/>
      <c r="J1298" s="14">
        <f t="shared" si="319"/>
        <v>0</v>
      </c>
      <c r="L1298" s="19"/>
    </row>
    <row r="1299" spans="1:12" x14ac:dyDescent="0.25">
      <c r="A1299" s="9" t="s">
        <v>20</v>
      </c>
      <c r="B1299" s="14"/>
      <c r="C1299" s="14"/>
      <c r="D1299" s="14"/>
      <c r="E1299" s="14"/>
      <c r="F1299" s="14"/>
      <c r="G1299" s="14"/>
      <c r="H1299" s="14"/>
      <c r="I1299" s="14"/>
      <c r="J1299" s="14">
        <f t="shared" si="319"/>
        <v>0</v>
      </c>
      <c r="L1299" s="19"/>
    </row>
    <row r="1300" spans="1:12" x14ac:dyDescent="0.25">
      <c r="A1300" s="5" t="s">
        <v>21</v>
      </c>
      <c r="B1300" s="14">
        <f t="shared" ref="B1300:I1300" si="320">SUM(B1290:B1299)</f>
        <v>103.36</v>
      </c>
      <c r="C1300" s="14">
        <f t="shared" si="320"/>
        <v>0</v>
      </c>
      <c r="D1300" s="14">
        <f t="shared" si="320"/>
        <v>53065.020000000004</v>
      </c>
      <c r="E1300" s="14">
        <f t="shared" si="320"/>
        <v>0</v>
      </c>
      <c r="F1300" s="14">
        <f t="shared" si="320"/>
        <v>0</v>
      </c>
      <c r="G1300" s="14">
        <f t="shared" si="320"/>
        <v>0</v>
      </c>
      <c r="H1300" s="14">
        <f t="shared" si="320"/>
        <v>0</v>
      </c>
      <c r="I1300" s="14">
        <f t="shared" si="320"/>
        <v>0</v>
      </c>
      <c r="J1300" s="14">
        <f t="shared" si="319"/>
        <v>53168.380000000005</v>
      </c>
      <c r="L1300" s="19"/>
    </row>
    <row r="1301" spans="1:12" x14ac:dyDescent="0.25">
      <c r="A1301" s="9" t="s">
        <v>22</v>
      </c>
      <c r="B1301" s="14"/>
      <c r="C1301" s="14"/>
      <c r="D1301" s="14"/>
      <c r="E1301" s="14"/>
      <c r="F1301" s="14"/>
      <c r="G1301" s="14"/>
      <c r="H1301" s="14"/>
      <c r="I1301" s="14"/>
      <c r="J1301" s="14">
        <f t="shared" si="319"/>
        <v>0</v>
      </c>
      <c r="L1301" s="19"/>
    </row>
    <row r="1302" spans="1:12" x14ac:dyDescent="0.25">
      <c r="A1302" s="9" t="s">
        <v>23</v>
      </c>
      <c r="B1302" s="14"/>
      <c r="C1302" s="14"/>
      <c r="D1302" s="14"/>
      <c r="E1302" s="14"/>
      <c r="F1302" s="14"/>
      <c r="G1302" s="14"/>
      <c r="H1302" s="14"/>
      <c r="I1302" s="14"/>
      <c r="J1302" s="14">
        <f t="shared" si="319"/>
        <v>0</v>
      </c>
      <c r="L1302" s="19"/>
    </row>
    <row r="1303" spans="1:12" x14ac:dyDescent="0.25">
      <c r="A1303" s="5" t="s">
        <v>42</v>
      </c>
      <c r="B1303" s="14">
        <f t="shared" ref="B1303:J1303" si="321">SUM(B1301:B1302)</f>
        <v>0</v>
      </c>
      <c r="C1303" s="14">
        <f t="shared" si="321"/>
        <v>0</v>
      </c>
      <c r="D1303" s="14">
        <f t="shared" si="321"/>
        <v>0</v>
      </c>
      <c r="E1303" s="14">
        <f t="shared" si="321"/>
        <v>0</v>
      </c>
      <c r="F1303" s="14">
        <f t="shared" si="321"/>
        <v>0</v>
      </c>
      <c r="G1303" s="14">
        <f t="shared" si="321"/>
        <v>0</v>
      </c>
      <c r="H1303" s="14">
        <f t="shared" si="321"/>
        <v>0</v>
      </c>
      <c r="I1303" s="14">
        <f t="shared" si="321"/>
        <v>0</v>
      </c>
      <c r="J1303" s="14">
        <f t="shared" si="321"/>
        <v>0</v>
      </c>
      <c r="L1303" s="19"/>
    </row>
    <row r="1304" spans="1:12" x14ac:dyDescent="0.25">
      <c r="A1304" s="5" t="s">
        <v>24</v>
      </c>
      <c r="B1304" s="14">
        <f t="shared" ref="B1304:J1304" si="322">B1300+B1303</f>
        <v>103.36</v>
      </c>
      <c r="C1304" s="14">
        <f t="shared" si="322"/>
        <v>0</v>
      </c>
      <c r="D1304" s="14">
        <f t="shared" si="322"/>
        <v>53065.020000000004</v>
      </c>
      <c r="E1304" s="14">
        <f t="shared" si="322"/>
        <v>0</v>
      </c>
      <c r="F1304" s="14">
        <f t="shared" si="322"/>
        <v>0</v>
      </c>
      <c r="G1304" s="14">
        <f t="shared" si="322"/>
        <v>0</v>
      </c>
      <c r="H1304" s="14">
        <f t="shared" si="322"/>
        <v>0</v>
      </c>
      <c r="I1304" s="14">
        <f t="shared" si="322"/>
        <v>0</v>
      </c>
      <c r="J1304" s="14">
        <f t="shared" si="322"/>
        <v>53168.380000000005</v>
      </c>
      <c r="L1304" s="19"/>
    </row>
    <row r="1305" spans="1:12" s="24" customFormat="1" x14ac:dyDescent="0.25">
      <c r="A1305" s="16" t="s">
        <v>28</v>
      </c>
      <c r="B1305" s="17"/>
      <c r="C1305" s="17"/>
      <c r="D1305" s="17"/>
      <c r="E1305" s="17"/>
      <c r="F1305" s="17"/>
      <c r="G1305" s="17"/>
      <c r="H1305" s="17"/>
      <c r="I1305" s="17"/>
      <c r="J1305" s="17"/>
      <c r="L1305" s="33"/>
    </row>
    <row r="1306" spans="1:12" x14ac:dyDescent="0.25">
      <c r="A1306" s="9" t="s">
        <v>11</v>
      </c>
      <c r="B1306" s="14"/>
      <c r="C1306" s="14"/>
      <c r="D1306" s="14">
        <f>924219.5+119351.51+119351.51</f>
        <v>1162922.52</v>
      </c>
      <c r="E1306" s="14"/>
      <c r="F1306" s="14"/>
      <c r="G1306" s="14"/>
      <c r="H1306" s="14"/>
      <c r="I1306" s="14"/>
      <c r="J1306" s="14">
        <f t="shared" ref="J1306:J1338" si="323">SUM(B1306:I1306)</f>
        <v>1162922.52</v>
      </c>
      <c r="L1306" s="19"/>
    </row>
    <row r="1307" spans="1:12" x14ac:dyDescent="0.25">
      <c r="A1307" s="9" t="s">
        <v>12</v>
      </c>
      <c r="B1307" s="14"/>
      <c r="C1307" s="14"/>
      <c r="D1307" s="14">
        <f>5564+121+2215+390+1044+1104.16+579.8+219.9+1748.8+2650+338+146+561+1876+1930+3836.54+3229.4+1017.43</f>
        <v>28571.03</v>
      </c>
      <c r="E1307" s="14">
        <v>215.16</v>
      </c>
      <c r="F1307" s="14"/>
      <c r="G1307" s="14"/>
      <c r="H1307" s="14"/>
      <c r="I1307" s="14"/>
      <c r="J1307" s="14">
        <f t="shared" si="323"/>
        <v>28786.19</v>
      </c>
      <c r="L1307" s="19"/>
    </row>
    <row r="1308" spans="1:12" x14ac:dyDescent="0.25">
      <c r="A1308" s="9" t="s">
        <v>13</v>
      </c>
      <c r="B1308" s="14"/>
      <c r="C1308" s="14"/>
      <c r="D1308" s="14"/>
      <c r="E1308" s="14"/>
      <c r="F1308" s="14"/>
      <c r="G1308" s="14"/>
      <c r="H1308" s="14"/>
      <c r="I1308" s="14"/>
      <c r="J1308" s="14">
        <f t="shared" si="323"/>
        <v>0</v>
      </c>
      <c r="L1308" s="19"/>
    </row>
    <row r="1309" spans="1:12" x14ac:dyDescent="0.25">
      <c r="A1309" s="9" t="s">
        <v>14</v>
      </c>
      <c r="B1309" s="14"/>
      <c r="C1309" s="14"/>
      <c r="D1309" s="14">
        <f>3000+2400+1350+92+31.13+34+700+300+1600+600+146+400+6600+450+1344+100+292+1900+20000+935+28+450+998.62+2340.6+587.35</f>
        <v>46678.700000000004</v>
      </c>
      <c r="E1309" s="14"/>
      <c r="F1309" s="14"/>
      <c r="G1309" s="14"/>
      <c r="H1309" s="14"/>
      <c r="I1309" s="14"/>
      <c r="J1309" s="14">
        <f t="shared" si="323"/>
        <v>46678.700000000004</v>
      </c>
      <c r="L1309" s="19"/>
    </row>
    <row r="1310" spans="1:12" x14ac:dyDescent="0.25">
      <c r="A1310" s="9" t="s">
        <v>15</v>
      </c>
      <c r="B1310" s="14"/>
      <c r="C1310" s="14"/>
      <c r="D1310" s="14">
        <f>278.83+266.66</f>
        <v>545.49</v>
      </c>
      <c r="E1310" s="14"/>
      <c r="F1310" s="14"/>
      <c r="G1310" s="14"/>
      <c r="H1310" s="14"/>
      <c r="I1310" s="14"/>
      <c r="J1310" s="14">
        <f t="shared" si="323"/>
        <v>545.49</v>
      </c>
      <c r="L1310" s="19"/>
    </row>
    <row r="1311" spans="1:12" x14ac:dyDescent="0.25">
      <c r="A1311" s="9" t="s">
        <v>16</v>
      </c>
      <c r="B1311" s="14">
        <v>24212.92</v>
      </c>
      <c r="C1311" s="14"/>
      <c r="D1311" s="14"/>
      <c r="E1311" s="14"/>
      <c r="F1311" s="14"/>
      <c r="G1311" s="14"/>
      <c r="H1311" s="14"/>
      <c r="I1311" s="14"/>
      <c r="J1311" s="14">
        <f t="shared" si="323"/>
        <v>24212.92</v>
      </c>
      <c r="L1311" s="19"/>
    </row>
    <row r="1312" spans="1:12" x14ac:dyDescent="0.25">
      <c r="A1312" s="9" t="s">
        <v>17</v>
      </c>
      <c r="B1312" s="14">
        <v>1649.7</v>
      </c>
      <c r="C1312" s="14"/>
      <c r="D1312" s="14"/>
      <c r="E1312" s="14"/>
      <c r="F1312" s="14"/>
      <c r="G1312" s="14"/>
      <c r="H1312" s="14"/>
      <c r="I1312" s="14"/>
      <c r="J1312" s="14">
        <f t="shared" si="323"/>
        <v>1649.7</v>
      </c>
      <c r="L1312" s="19"/>
    </row>
    <row r="1313" spans="1:19" x14ac:dyDescent="0.25">
      <c r="A1313" s="9" t="s">
        <v>18</v>
      </c>
      <c r="B1313" s="14">
        <f>7084.11+1166</f>
        <v>8250.11</v>
      </c>
      <c r="C1313" s="14"/>
      <c r="D1313" s="14"/>
      <c r="E1313" s="14"/>
      <c r="F1313" s="14"/>
      <c r="G1313" s="14"/>
      <c r="H1313" s="14"/>
      <c r="I1313" s="14"/>
      <c r="J1313" s="14">
        <f t="shared" si="323"/>
        <v>8250.11</v>
      </c>
      <c r="L1313" s="19"/>
    </row>
    <row r="1314" spans="1:19" x14ac:dyDescent="0.25">
      <c r="A1314" s="9" t="s">
        <v>19</v>
      </c>
      <c r="B1314" s="14"/>
      <c r="C1314" s="14"/>
      <c r="D1314" s="14"/>
      <c r="E1314" s="14"/>
      <c r="F1314" s="14"/>
      <c r="G1314" s="14"/>
      <c r="H1314" s="14"/>
      <c r="I1314" s="14"/>
      <c r="J1314" s="14">
        <f t="shared" si="323"/>
        <v>0</v>
      </c>
      <c r="L1314" s="19"/>
      <c r="S1314" s="19"/>
    </row>
    <row r="1315" spans="1:19" x14ac:dyDescent="0.25">
      <c r="A1315" s="9" t="s">
        <v>20</v>
      </c>
      <c r="B1315" s="14"/>
      <c r="C1315" s="14"/>
      <c r="D1315" s="14"/>
      <c r="E1315" s="14"/>
      <c r="F1315" s="14"/>
      <c r="G1315" s="14"/>
      <c r="H1315" s="14"/>
      <c r="I1315" s="14"/>
      <c r="J1315" s="14">
        <f t="shared" si="323"/>
        <v>0</v>
      </c>
      <c r="L1315" s="19"/>
    </row>
    <row r="1316" spans="1:19" x14ac:dyDescent="0.25">
      <c r="A1316" s="5" t="s">
        <v>21</v>
      </c>
      <c r="B1316" s="14">
        <f t="shared" ref="B1316:I1316" si="324">SUM(B1306:B1315)</f>
        <v>34112.729999999996</v>
      </c>
      <c r="C1316" s="14">
        <f t="shared" si="324"/>
        <v>0</v>
      </c>
      <c r="D1316" s="14">
        <f t="shared" si="324"/>
        <v>1238717.74</v>
      </c>
      <c r="E1316" s="14">
        <f t="shared" si="324"/>
        <v>215.16</v>
      </c>
      <c r="F1316" s="14">
        <f t="shared" si="324"/>
        <v>0</v>
      </c>
      <c r="G1316" s="14">
        <f t="shared" si="324"/>
        <v>0</v>
      </c>
      <c r="H1316" s="14">
        <f t="shared" si="324"/>
        <v>0</v>
      </c>
      <c r="I1316" s="14">
        <f t="shared" si="324"/>
        <v>0</v>
      </c>
      <c r="J1316" s="14">
        <f t="shared" si="323"/>
        <v>1273045.6299999999</v>
      </c>
      <c r="L1316" s="19"/>
    </row>
    <row r="1317" spans="1:19" x14ac:dyDescent="0.25">
      <c r="A1317" s="9" t="s">
        <v>22</v>
      </c>
      <c r="B1317" s="14"/>
      <c r="C1317" s="14"/>
      <c r="D1317" s="14"/>
      <c r="E1317" s="14"/>
      <c r="F1317" s="14"/>
      <c r="G1317" s="14"/>
      <c r="H1317" s="14"/>
      <c r="I1317" s="14"/>
      <c r="J1317" s="14">
        <f t="shared" si="323"/>
        <v>0</v>
      </c>
      <c r="L1317" s="19"/>
    </row>
    <row r="1318" spans="1:19" x14ac:dyDescent="0.25">
      <c r="A1318" s="9" t="s">
        <v>23</v>
      </c>
      <c r="B1318" s="14"/>
      <c r="C1318" s="14"/>
      <c r="D1318" s="14"/>
      <c r="E1318" s="14"/>
      <c r="F1318" s="14"/>
      <c r="G1318" s="14"/>
      <c r="H1318" s="14"/>
      <c r="I1318" s="14"/>
      <c r="J1318" s="14">
        <f t="shared" si="323"/>
        <v>0</v>
      </c>
      <c r="L1318" s="19"/>
    </row>
    <row r="1319" spans="1:19" x14ac:dyDescent="0.25">
      <c r="A1319" s="5" t="s">
        <v>42</v>
      </c>
      <c r="B1319" s="14">
        <f t="shared" ref="B1319:I1319" si="325">SUM(B1317:B1318)</f>
        <v>0</v>
      </c>
      <c r="C1319" s="14">
        <f t="shared" si="325"/>
        <v>0</v>
      </c>
      <c r="D1319" s="14">
        <f t="shared" si="325"/>
        <v>0</v>
      </c>
      <c r="E1319" s="14">
        <f t="shared" si="325"/>
        <v>0</v>
      </c>
      <c r="F1319" s="14">
        <f t="shared" si="325"/>
        <v>0</v>
      </c>
      <c r="G1319" s="14">
        <f t="shared" si="325"/>
        <v>0</v>
      </c>
      <c r="H1319" s="14">
        <f t="shared" si="325"/>
        <v>0</v>
      </c>
      <c r="I1319" s="14">
        <f t="shared" si="325"/>
        <v>0</v>
      </c>
      <c r="J1319" s="14">
        <f t="shared" si="323"/>
        <v>0</v>
      </c>
      <c r="L1319" s="19"/>
    </row>
    <row r="1320" spans="1:19" x14ac:dyDescent="0.25">
      <c r="A1320" s="5" t="s">
        <v>24</v>
      </c>
      <c r="B1320" s="14">
        <f t="shared" ref="B1320:I1320" si="326">B1316+B1319</f>
        <v>34112.729999999996</v>
      </c>
      <c r="C1320" s="14">
        <f t="shared" si="326"/>
        <v>0</v>
      </c>
      <c r="D1320" s="14">
        <f t="shared" si="326"/>
        <v>1238717.74</v>
      </c>
      <c r="E1320" s="14">
        <f t="shared" si="326"/>
        <v>215.16</v>
      </c>
      <c r="F1320" s="14">
        <f t="shared" si="326"/>
        <v>0</v>
      </c>
      <c r="G1320" s="14">
        <f t="shared" si="326"/>
        <v>0</v>
      </c>
      <c r="H1320" s="14">
        <f t="shared" si="326"/>
        <v>0</v>
      </c>
      <c r="I1320" s="14">
        <f t="shared" si="326"/>
        <v>0</v>
      </c>
      <c r="J1320" s="14">
        <f t="shared" si="323"/>
        <v>1273045.6299999999</v>
      </c>
      <c r="L1320" s="19"/>
    </row>
    <row r="1321" spans="1:19" x14ac:dyDescent="0.25">
      <c r="A1321" s="16" t="s">
        <v>121</v>
      </c>
      <c r="B1321" s="17"/>
      <c r="C1321" s="17"/>
      <c r="D1321" s="17"/>
      <c r="E1321" s="17"/>
      <c r="F1321" s="17"/>
      <c r="G1321" s="17"/>
      <c r="H1321" s="17"/>
      <c r="I1321" s="17"/>
      <c r="J1321" s="17"/>
      <c r="L1321" s="19"/>
    </row>
    <row r="1322" spans="1:19" x14ac:dyDescent="0.25">
      <c r="A1322" s="9" t="s">
        <v>11</v>
      </c>
      <c r="B1322" s="14"/>
      <c r="C1322" s="14"/>
      <c r="D1322" s="14"/>
      <c r="E1322" s="14"/>
      <c r="F1322" s="14"/>
      <c r="G1322" s="14"/>
      <c r="H1322" s="14"/>
      <c r="I1322" s="14"/>
      <c r="J1322" s="14">
        <f t="shared" ref="J1322:J1336" si="327">SUM(B1322:I1322)</f>
        <v>0</v>
      </c>
      <c r="L1322" s="19"/>
    </row>
    <row r="1323" spans="1:19" x14ac:dyDescent="0.25">
      <c r="A1323" s="9" t="s">
        <v>12</v>
      </c>
      <c r="B1323" s="14"/>
      <c r="C1323" s="14"/>
      <c r="D1323" s="14"/>
      <c r="E1323" s="14"/>
      <c r="F1323" s="14"/>
      <c r="G1323" s="14"/>
      <c r="H1323" s="14"/>
      <c r="I1323" s="14"/>
      <c r="J1323" s="14">
        <f t="shared" si="327"/>
        <v>0</v>
      </c>
      <c r="L1323" s="19"/>
    </row>
    <row r="1324" spans="1:19" x14ac:dyDescent="0.25">
      <c r="A1324" s="9" t="s">
        <v>13</v>
      </c>
      <c r="B1324" s="14"/>
      <c r="C1324" s="14"/>
      <c r="D1324" s="14"/>
      <c r="E1324" s="14"/>
      <c r="F1324" s="14"/>
      <c r="G1324" s="14"/>
      <c r="H1324" s="14"/>
      <c r="I1324" s="14"/>
      <c r="J1324" s="14">
        <f t="shared" si="327"/>
        <v>0</v>
      </c>
      <c r="L1324" s="19"/>
    </row>
    <row r="1325" spans="1:19" x14ac:dyDescent="0.25">
      <c r="A1325" s="9" t="s">
        <v>14</v>
      </c>
      <c r="B1325" s="14">
        <v>133854.39999999999</v>
      </c>
      <c r="C1325" s="14"/>
      <c r="D1325" s="14"/>
      <c r="E1325" s="14"/>
      <c r="F1325" s="14"/>
      <c r="G1325" s="14"/>
      <c r="H1325" s="14"/>
      <c r="I1325" s="14"/>
      <c r="J1325" s="14">
        <f t="shared" si="327"/>
        <v>133854.39999999999</v>
      </c>
      <c r="L1325" s="19"/>
    </row>
    <row r="1326" spans="1:19" x14ac:dyDescent="0.25">
      <c r="A1326" s="9" t="s">
        <v>15</v>
      </c>
      <c r="B1326" s="14"/>
      <c r="C1326" s="14"/>
      <c r="D1326" s="14"/>
      <c r="E1326" s="14"/>
      <c r="F1326" s="14"/>
      <c r="G1326" s="14"/>
      <c r="H1326" s="14"/>
      <c r="I1326" s="14"/>
      <c r="J1326" s="14">
        <f t="shared" si="327"/>
        <v>0</v>
      </c>
      <c r="L1326" s="19"/>
    </row>
    <row r="1327" spans="1:19" x14ac:dyDescent="0.25">
      <c r="A1327" s="9" t="s">
        <v>16</v>
      </c>
      <c r="B1327" s="14"/>
      <c r="C1327" s="14"/>
      <c r="D1327" s="14"/>
      <c r="E1327" s="14"/>
      <c r="F1327" s="14"/>
      <c r="G1327" s="14"/>
      <c r="H1327" s="14"/>
      <c r="I1327" s="14"/>
      <c r="J1327" s="14">
        <f t="shared" si="327"/>
        <v>0</v>
      </c>
      <c r="L1327" s="19"/>
    </row>
    <row r="1328" spans="1:19" x14ac:dyDescent="0.25">
      <c r="A1328" s="9" t="s">
        <v>17</v>
      </c>
      <c r="B1328" s="14"/>
      <c r="C1328" s="14"/>
      <c r="D1328" s="14"/>
      <c r="E1328" s="14"/>
      <c r="F1328" s="14"/>
      <c r="G1328" s="14"/>
      <c r="H1328" s="14"/>
      <c r="I1328" s="14"/>
      <c r="J1328" s="14">
        <f t="shared" si="327"/>
        <v>0</v>
      </c>
      <c r="L1328" s="19"/>
    </row>
    <row r="1329" spans="1:18" x14ac:dyDescent="0.25">
      <c r="A1329" s="9" t="s">
        <v>18</v>
      </c>
      <c r="B1329" s="14"/>
      <c r="C1329" s="14"/>
      <c r="D1329" s="14"/>
      <c r="E1329" s="14"/>
      <c r="F1329" s="14"/>
      <c r="G1329" s="14"/>
      <c r="H1329" s="14"/>
      <c r="I1329" s="14"/>
      <c r="J1329" s="14">
        <f t="shared" si="327"/>
        <v>0</v>
      </c>
      <c r="L1329" s="19"/>
    </row>
    <row r="1330" spans="1:18" x14ac:dyDescent="0.25">
      <c r="A1330" s="9" t="s">
        <v>19</v>
      </c>
      <c r="B1330" s="14"/>
      <c r="C1330" s="14"/>
      <c r="D1330" s="14"/>
      <c r="E1330" s="14"/>
      <c r="F1330" s="14"/>
      <c r="G1330" s="14"/>
      <c r="H1330" s="14"/>
      <c r="I1330" s="14"/>
      <c r="J1330" s="14">
        <f t="shared" si="327"/>
        <v>0</v>
      </c>
      <c r="L1330" s="19"/>
    </row>
    <row r="1331" spans="1:18" x14ac:dyDescent="0.25">
      <c r="A1331" s="9" t="s">
        <v>20</v>
      </c>
      <c r="B1331" s="14"/>
      <c r="C1331" s="14"/>
      <c r="D1331" s="14"/>
      <c r="E1331" s="14"/>
      <c r="F1331" s="14"/>
      <c r="G1331" s="14"/>
      <c r="H1331" s="14"/>
      <c r="I1331" s="14"/>
      <c r="J1331" s="14">
        <f t="shared" si="327"/>
        <v>0</v>
      </c>
      <c r="L1331" s="19"/>
    </row>
    <row r="1332" spans="1:18" x14ac:dyDescent="0.25">
      <c r="A1332" s="5" t="s">
        <v>21</v>
      </c>
      <c r="B1332" s="14">
        <f>SUM(B1322:B1331)</f>
        <v>133854.39999999999</v>
      </c>
      <c r="C1332" s="14">
        <f>SUM(C1322:C1331)</f>
        <v>0</v>
      </c>
      <c r="D1332" s="14">
        <f t="shared" ref="D1332:I1332" si="328">SUM(D1322:D1331)</f>
        <v>0</v>
      </c>
      <c r="E1332" s="14">
        <f t="shared" si="328"/>
        <v>0</v>
      </c>
      <c r="F1332" s="14">
        <f t="shared" si="328"/>
        <v>0</v>
      </c>
      <c r="G1332" s="14">
        <f t="shared" si="328"/>
        <v>0</v>
      </c>
      <c r="H1332" s="14">
        <f t="shared" si="328"/>
        <v>0</v>
      </c>
      <c r="I1332" s="14">
        <f t="shared" si="328"/>
        <v>0</v>
      </c>
      <c r="J1332" s="14">
        <f>SUM(B1332:I1332)</f>
        <v>133854.39999999999</v>
      </c>
      <c r="L1332" s="19"/>
    </row>
    <row r="1333" spans="1:18" x14ac:dyDescent="0.25">
      <c r="A1333" s="9" t="s">
        <v>22</v>
      </c>
      <c r="B1333" s="14"/>
      <c r="C1333" s="14"/>
      <c r="D1333" s="14"/>
      <c r="E1333" s="14"/>
      <c r="F1333" s="14"/>
      <c r="G1333" s="14"/>
      <c r="H1333" s="14"/>
      <c r="I1333" s="14"/>
      <c r="J1333" s="14">
        <f t="shared" si="327"/>
        <v>0</v>
      </c>
      <c r="L1333" s="19"/>
    </row>
    <row r="1334" spans="1:18" x14ac:dyDescent="0.25">
      <c r="A1334" s="9" t="s">
        <v>23</v>
      </c>
      <c r="B1334" s="14"/>
      <c r="C1334" s="14"/>
      <c r="D1334" s="14"/>
      <c r="E1334" s="14"/>
      <c r="F1334" s="14"/>
      <c r="G1334" s="14"/>
      <c r="H1334" s="14"/>
      <c r="I1334" s="14"/>
      <c r="J1334" s="14">
        <f t="shared" si="327"/>
        <v>0</v>
      </c>
      <c r="L1334" s="19"/>
    </row>
    <row r="1335" spans="1:18" x14ac:dyDescent="0.25">
      <c r="A1335" s="5" t="s">
        <v>42</v>
      </c>
      <c r="B1335" s="14">
        <f t="shared" ref="B1335:I1335" si="329">SUM(B1333:B1334)</f>
        <v>0</v>
      </c>
      <c r="C1335" s="14">
        <f t="shared" si="329"/>
        <v>0</v>
      </c>
      <c r="D1335" s="14">
        <f t="shared" si="329"/>
        <v>0</v>
      </c>
      <c r="E1335" s="14">
        <f t="shared" si="329"/>
        <v>0</v>
      </c>
      <c r="F1335" s="14">
        <f t="shared" si="329"/>
        <v>0</v>
      </c>
      <c r="G1335" s="14">
        <f t="shared" si="329"/>
        <v>0</v>
      </c>
      <c r="H1335" s="14">
        <f t="shared" si="329"/>
        <v>0</v>
      </c>
      <c r="I1335" s="14">
        <f t="shared" si="329"/>
        <v>0</v>
      </c>
      <c r="J1335" s="14">
        <f t="shared" si="327"/>
        <v>0</v>
      </c>
      <c r="L1335" s="19"/>
    </row>
    <row r="1336" spans="1:18" x14ac:dyDescent="0.25">
      <c r="A1336" s="5" t="s">
        <v>24</v>
      </c>
      <c r="B1336" s="14">
        <f>B1332+B1335</f>
        <v>133854.39999999999</v>
      </c>
      <c r="C1336" s="14">
        <f>C1332+C1335</f>
        <v>0</v>
      </c>
      <c r="D1336" s="14">
        <f t="shared" ref="D1336:I1336" si="330">D1332+D1335</f>
        <v>0</v>
      </c>
      <c r="E1336" s="14">
        <f t="shared" si="330"/>
        <v>0</v>
      </c>
      <c r="F1336" s="14">
        <f t="shared" si="330"/>
        <v>0</v>
      </c>
      <c r="G1336" s="14">
        <f t="shared" si="330"/>
        <v>0</v>
      </c>
      <c r="H1336" s="14">
        <f t="shared" si="330"/>
        <v>0</v>
      </c>
      <c r="I1336" s="14">
        <f t="shared" si="330"/>
        <v>0</v>
      </c>
      <c r="J1336" s="14">
        <f t="shared" si="327"/>
        <v>133854.39999999999</v>
      </c>
      <c r="L1336" s="19"/>
    </row>
    <row r="1337" spans="1:18" ht="18.75" x14ac:dyDescent="0.3">
      <c r="A1337" s="21" t="s">
        <v>29</v>
      </c>
      <c r="B1337" s="20">
        <f t="shared" ref="B1337:I1337" si="331">B71+B23+B39+B55+B87+B103+B119+B135+B151+B167+B183+B199+B215+B231+B247+B263+B279+B295+B311+B327+B343+B359+B375+B391+B407+B423+B439+B455+B471+B487+B503+B519+B535+B551+B567+B583+B599+B615+B631+B647+B663+B679+B695+B711+B727+B743+B759+B775+B791+B807+B823+B839+B855+B871+B887+B903+B919+B935+B951+B967+B983+B999+B1015+B1031+B1047+B1063+B1080+B1096+B1112+B1128+B1144+B1160+B1176+B1192+B1208+B1224+B1240+B1256+B1272+B1288+B1304+B1320</f>
        <v>808294.38000000047</v>
      </c>
      <c r="C1337" s="20">
        <f t="shared" si="331"/>
        <v>0</v>
      </c>
      <c r="D1337" s="20">
        <f t="shared" si="331"/>
        <v>16096470.056000002</v>
      </c>
      <c r="E1337" s="20">
        <f t="shared" si="331"/>
        <v>415440.02999999834</v>
      </c>
      <c r="F1337" s="20">
        <f t="shared" si="331"/>
        <v>0</v>
      </c>
      <c r="G1337" s="20">
        <f t="shared" si="331"/>
        <v>334574.96000000002</v>
      </c>
      <c r="H1337" s="20">
        <f t="shared" si="331"/>
        <v>0</v>
      </c>
      <c r="I1337" s="20">
        <f t="shared" si="331"/>
        <v>0</v>
      </c>
      <c r="J1337" s="20">
        <f t="shared" si="323"/>
        <v>17654779.425999999</v>
      </c>
    </row>
    <row r="1338" spans="1:18" x14ac:dyDescent="0.25">
      <c r="A1338" s="11" t="s">
        <v>30</v>
      </c>
      <c r="B1338" s="15"/>
      <c r="C1338" s="15"/>
      <c r="D1338" s="15"/>
      <c r="E1338" s="15"/>
      <c r="F1338" s="15"/>
      <c r="G1338" s="15"/>
      <c r="H1338" s="15"/>
      <c r="I1338" s="15"/>
      <c r="J1338" s="15">
        <f t="shared" si="323"/>
        <v>0</v>
      </c>
    </row>
    <row r="1339" spans="1:18" x14ac:dyDescent="0.25">
      <c r="A1339" s="10" t="s">
        <v>31</v>
      </c>
      <c r="B1339" s="15">
        <f t="shared" ref="B1339:J1339" si="332">B19+B35+B51+B67+B83+B99+B115+B131+B147+B163+B179+B195+B211+B227+B243+B259+B275+B291+B307+B323+B339+B355+B371+B387+B403+B419+B435+B451+B467+B483+B499+B515+B531+B547+B563+B579+B595+B611+B627+B643+B659+B675+B691+B707+B723+B739+B755+B771+B787+B803+B819+B835+B851+B867+B883+B899+B915+B931+B947+B963+B979+B995+B1011+B1027+B1043+B1059+B1076+B1092+B1108+B1124+B1140+B1156+B1172+B1188+B1204+B1220+B1236+B1252+B1268+B1284+B1300+B1316</f>
        <v>808294.38000000047</v>
      </c>
      <c r="C1339" s="15">
        <f t="shared" si="332"/>
        <v>0</v>
      </c>
      <c r="D1339" s="15">
        <f>D19+D35+D51+D67+D83+D99+D115+D131+D147+D163+D179+D195+D211+D227+D243+D259+D275+D291+D307+D323+D339+D355+D371+D387+D403+D419+D435+D451+D467+D483+D499+D515+D531+D547+D563+D579+D595+D611+D627+D643+D659+D675+D691+D707+D723+D739+D755+D771+D787+D803+D819+D835+D851+D867+D883+D899+D915+D931+D947+D963+D979+D995+D1011+D1027+D1043+D1059+D1076+D1092+D1108+D1124+D1140+D1156+D1172+D1188+D1204+D1220+D1236+D1252+D1268+D1284+D1300+D1316</f>
        <v>15881970.056000002</v>
      </c>
      <c r="E1339" s="15">
        <f t="shared" si="332"/>
        <v>415440.02999999822</v>
      </c>
      <c r="F1339" s="15">
        <f t="shared" si="332"/>
        <v>0</v>
      </c>
      <c r="G1339" s="15">
        <f t="shared" si="332"/>
        <v>212574.96000000002</v>
      </c>
      <c r="H1339" s="15">
        <f t="shared" si="332"/>
        <v>0</v>
      </c>
      <c r="I1339" s="15">
        <f t="shared" si="332"/>
        <v>0</v>
      </c>
      <c r="J1339" s="15">
        <f t="shared" si="332"/>
        <v>17318279.426000006</v>
      </c>
    </row>
    <row r="1340" spans="1:18" x14ac:dyDescent="0.25">
      <c r="A1340" s="9" t="s">
        <v>11</v>
      </c>
      <c r="B1340" s="22">
        <f t="shared" ref="B1340:J1340" si="333">B9+B25+B41+B57+B73+B89+B105+B121+B137+B153+B169+B185+B201+B217+B233+B249+B265+B281+B297+B313+B329+B345+B361+B377+B393+B409+B425+B441+B457+B473+B489+B505+B521+B537+B553+B569+B585+B601+B617+B633+B649+B665+B681+B697+B713+B729+B745+B761+B777+B793+B809+B825+B841+B857+B873+B889+B905+B921+B937+B953+B969+B985+B1001+B1017+B1033+B1049+B1065+B1082+B1098+B1114+B1130+B1146+B1162+B1178+B1194+B1210+B1226+B1242+B1258+B1274+B1290+B1306</f>
        <v>0</v>
      </c>
      <c r="C1340" s="22">
        <f t="shared" si="333"/>
        <v>0</v>
      </c>
      <c r="D1340" s="22">
        <f t="shared" si="333"/>
        <v>14920454.446000002</v>
      </c>
      <c r="E1340" s="22">
        <f t="shared" si="333"/>
        <v>0</v>
      </c>
      <c r="F1340" s="22">
        <f t="shared" si="333"/>
        <v>0</v>
      </c>
      <c r="G1340" s="22">
        <f t="shared" si="333"/>
        <v>0</v>
      </c>
      <c r="H1340" s="22">
        <f t="shared" si="333"/>
        <v>0</v>
      </c>
      <c r="I1340" s="22">
        <f t="shared" si="333"/>
        <v>0</v>
      </c>
      <c r="J1340" s="15">
        <f t="shared" si="333"/>
        <v>14920454.446000002</v>
      </c>
      <c r="N1340" s="19">
        <f>B1340+C1340+G1340</f>
        <v>0</v>
      </c>
      <c r="P1340" s="19"/>
    </row>
    <row r="1341" spans="1:18" x14ac:dyDescent="0.25">
      <c r="A1341" s="39" t="s">
        <v>12</v>
      </c>
      <c r="B1341" s="38">
        <f t="shared" ref="B1341:J1341" si="334">B10+B26+B42+B58+B74+B90+B106+B122+B138+B154+B170+B186+B202+B218+B234+B250+B266+B282+B298+B314+B330+B346+B362+B378+B394+B410+B426+B442+B458+B474+B490+B506+B522+B538+B554+B570+B586+B602+B618+B634+B650+B666+B682+B698+B714+B730+B746+B762+B778+B794+B810+B826+B842+B858+B874+B890+B906+B922+B938+B954+B970+B986+B1002+B1018+B1034+B1050+B1066+B1083+B1099+B1115+B1131+B1147+B1163+B1179+B1195+B1211+B1227+B1243+B1259+B1275+B1291+B1307</f>
        <v>21490.5</v>
      </c>
      <c r="C1341" s="22">
        <f t="shared" si="334"/>
        <v>0</v>
      </c>
      <c r="D1341" s="41">
        <f>D10+D26+D42+D58+D74+D90+D106+D122+D138+D154+D170+D186+D202+D218+D234+D250+D266+D282+D298+D314+D330+D346+D362+D378+D394+D410+D426+D442+D458+D474+D490+D506+D522+D538+D554+D570+D586+D602+D618+D634+D650+D666+D682+D698+D714+D730+D746+D762+D778+D794+D810+D826+D842+D858+D874+D890+D906+D922+D938+D954+D970+D986+D1002+D1018+D1034+D1050+D1066+D1083+D1099+D1115+D1131+D1147+D1163+D1179+D1195+D1211+D1227+D1243+D1259+D1275+D1291+D1307</f>
        <v>507686.39000000013</v>
      </c>
      <c r="E1341" s="22">
        <f t="shared" si="334"/>
        <v>307289.02999999997</v>
      </c>
      <c r="F1341" s="22">
        <f t="shared" si="334"/>
        <v>0</v>
      </c>
      <c r="G1341" s="22">
        <f t="shared" si="334"/>
        <v>32901.619999999995</v>
      </c>
      <c r="H1341" s="22">
        <f t="shared" si="334"/>
        <v>0</v>
      </c>
      <c r="I1341" s="22">
        <f t="shared" si="334"/>
        <v>0</v>
      </c>
      <c r="J1341" s="15">
        <f t="shared" si="334"/>
        <v>869367.54000000178</v>
      </c>
      <c r="K1341" s="19">
        <f>SUM(B1341:G1341)</f>
        <v>869367.54000000015</v>
      </c>
      <c r="L1341" s="19">
        <f t="shared" ref="L1341:L1349" si="335">K1341-E1359</f>
        <v>49534.54000000027</v>
      </c>
      <c r="N1341">
        <v>8610049.3800000008</v>
      </c>
      <c r="P1341" s="19"/>
      <c r="R1341" s="40">
        <f>B1341+E1341+G1341</f>
        <v>361681.14999999997</v>
      </c>
    </row>
    <row r="1342" spans="1:18" x14ac:dyDescent="0.25">
      <c r="A1342" s="39" t="s">
        <v>13</v>
      </c>
      <c r="B1342" s="38">
        <f t="shared" ref="B1342:J1342" si="336">B11+B27+B43+B59+B75+B91+B107+B123+B139+B155+B171+B187+B203+B219+B235+B251+B267+B283+B299+B315+B331+B347+B363+B379+B395+B411+B427+B443+B459+B475+B491+B507+B523+B539+B555+B571+B587+B603+B619+B635+B651+B667+B683+B699+B715+B731+B747+B763+B779+B795+B811+B827+B843+B859+B875+B891+B907+B923+B939+B955+B971+B987+B1003+B1019+B1035+B1051+B1067+B1084+B1100+B1116+B1132+B1148+B1164+B1180+B1196+B1212+B1228+B1244+B1260+B1276+B1292+B1308</f>
        <v>148109.31</v>
      </c>
      <c r="C1342" s="22">
        <f t="shared" si="336"/>
        <v>0</v>
      </c>
      <c r="D1342" s="41">
        <f t="shared" si="336"/>
        <v>15006.33</v>
      </c>
      <c r="E1342" s="22">
        <f t="shared" si="336"/>
        <v>0</v>
      </c>
      <c r="F1342" s="22">
        <f t="shared" si="336"/>
        <v>0</v>
      </c>
      <c r="G1342" s="22">
        <f t="shared" si="336"/>
        <v>23879.9</v>
      </c>
      <c r="H1342" s="22">
        <f t="shared" si="336"/>
        <v>0</v>
      </c>
      <c r="I1342" s="22">
        <f t="shared" si="336"/>
        <v>0</v>
      </c>
      <c r="J1342" s="36">
        <f t="shared" si="336"/>
        <v>186995.54000000007</v>
      </c>
      <c r="K1342" s="19">
        <f>SUM(B1342:G1342)</f>
        <v>186995.53999999998</v>
      </c>
      <c r="L1342" s="19">
        <f t="shared" si="335"/>
        <v>-306855.66000000003</v>
      </c>
      <c r="M1342" s="19">
        <f>L1342-D1342</f>
        <v>-321861.99000000005</v>
      </c>
      <c r="N1342" s="19">
        <f>N1340-N1341</f>
        <v>-8610049.3800000008</v>
      </c>
      <c r="P1342" s="19"/>
      <c r="R1342" s="40">
        <f t="shared" ref="R1342:R1350" si="337">B1342+E1342+G1342</f>
        <v>171989.21</v>
      </c>
    </row>
    <row r="1343" spans="1:18" x14ac:dyDescent="0.25">
      <c r="A1343" s="39" t="s">
        <v>14</v>
      </c>
      <c r="B1343" s="38">
        <f>B12+B28+B44+B60+B76+B92+B108+B124+B140+B156+B172+B188+B204+B220+B236+B252+B268+B284+B300+B316+B332+B348+B364+B380+B396+B412+B428+B444+B460+B476+B492+B508+B524+B540+B556+B572+B588+B604+B620+B636+B652+B668+B684+B700+B716+B732+B748+B764+B780+B796+B812+B828+B844+B860+B876+B892+B908+B924+B940+B956+B972+B988+B1004+B1020+B1036+B1052+B1068+B1085+B1101+B1117+B1133+B1149+B1165+B1181+B1197+B1213+B1229+B1245+B1261+B1277+B1293+B1309+B1325</f>
        <v>150578.71</v>
      </c>
      <c r="C1343" s="22">
        <f t="shared" ref="C1343:J1349" si="338">C12+C28+C44+C60+C76+C92+C108+C124+C140+C156+C172+C188+C204+C220+C236+C252+C268+C284+C300+C316+C332+C348+C364+C380+C396+C412+C428+C444+C460+C476+C492+C508+C524+C540+C556+C572+C588+C604+C620+C636+C652+C668+C684+C700+C716+C732+C748+C764+C780+C796+C812+C828+C844+C860+C876+C892+C908+C924+C940+C956+C972+C988+C1004+C1020+C1036+C1052+C1068+C1085+C1101+C1117+C1133+C1149+C1165+C1181+C1197+C1213+C1229+C1245+C1261+C1277+C1293+C1309</f>
        <v>0</v>
      </c>
      <c r="D1343" s="41">
        <f t="shared" si="338"/>
        <v>369523.85</v>
      </c>
      <c r="E1343" s="22">
        <f t="shared" si="338"/>
        <v>108151</v>
      </c>
      <c r="F1343" s="22">
        <f t="shared" si="338"/>
        <v>0</v>
      </c>
      <c r="G1343" s="22">
        <f t="shared" si="338"/>
        <v>2137.5</v>
      </c>
      <c r="H1343" s="22">
        <f t="shared" si="338"/>
        <v>0</v>
      </c>
      <c r="I1343" s="22">
        <f t="shared" si="338"/>
        <v>0</v>
      </c>
      <c r="J1343" s="36">
        <f t="shared" si="338"/>
        <v>496536.6599999998</v>
      </c>
      <c r="K1343" s="19">
        <f t="shared" ref="K1343:K1351" si="339">SUM(B1343:G1343)</f>
        <v>630391.05999999994</v>
      </c>
      <c r="L1343" s="19">
        <f t="shared" si="335"/>
        <v>422459.12999999995</v>
      </c>
      <c r="P1343" s="19">
        <f>B1343+C1343+E1343+G1343</f>
        <v>260867.21</v>
      </c>
      <c r="R1343" s="40">
        <f t="shared" si="337"/>
        <v>260867.21</v>
      </c>
    </row>
    <row r="1344" spans="1:18" x14ac:dyDescent="0.25">
      <c r="A1344" s="39" t="s">
        <v>15</v>
      </c>
      <c r="B1344" s="38">
        <f t="shared" ref="B1344:B1349" si="340">B13+B29+B45+B61+B77+B93+B109+B125+B141+B157+B173+B189+B205+B221+B237+B253+B269+B285+B301+B317+B333+B349+B365+B381+B397+B413+B429+B445+B461+B477+B493+B509+B525+B541+B557+B573+B589+B605+B621+B637+B653+B669+B685+B701+B717+B733+B749+B765+B781+B797+B813+B829+B845+B861+B877+B893+B909+B925+B941+B957+B973+B989+B1005+B1021+B1037+B1053+B1069+B1086+B1102+B1118+B1134+B1150+B1166+B1182+B1198+B1214+B1230+B1246+B1262+B1278+B1294+B1310</f>
        <v>0</v>
      </c>
      <c r="C1344" s="22">
        <f t="shared" si="338"/>
        <v>0</v>
      </c>
      <c r="D1344" s="41">
        <f t="shared" si="338"/>
        <v>69299.040000000008</v>
      </c>
      <c r="E1344" s="22">
        <f t="shared" si="338"/>
        <v>0</v>
      </c>
      <c r="F1344" s="22">
        <f t="shared" si="338"/>
        <v>0</v>
      </c>
      <c r="G1344" s="22">
        <f t="shared" si="338"/>
        <v>0</v>
      </c>
      <c r="H1344" s="22">
        <f t="shared" si="338"/>
        <v>0</v>
      </c>
      <c r="I1344" s="22">
        <f t="shared" si="338"/>
        <v>0</v>
      </c>
      <c r="J1344" s="36">
        <f t="shared" si="338"/>
        <v>69299.040000000008</v>
      </c>
      <c r="K1344" s="19">
        <f t="shared" si="339"/>
        <v>69299.040000000008</v>
      </c>
      <c r="L1344" s="19">
        <f t="shared" si="335"/>
        <v>-33146.78</v>
      </c>
      <c r="R1344" s="19">
        <f t="shared" si="337"/>
        <v>0</v>
      </c>
    </row>
    <row r="1345" spans="1:20" x14ac:dyDescent="0.25">
      <c r="A1345" s="39" t="s">
        <v>16</v>
      </c>
      <c r="B1345" s="38">
        <f t="shared" si="340"/>
        <v>145277.52000000002</v>
      </c>
      <c r="C1345" s="22">
        <f t="shared" si="338"/>
        <v>0</v>
      </c>
      <c r="D1345" s="22">
        <f t="shared" si="338"/>
        <v>0</v>
      </c>
      <c r="E1345" s="22">
        <f t="shared" si="338"/>
        <v>0</v>
      </c>
      <c r="F1345" s="22">
        <f t="shared" si="338"/>
        <v>0</v>
      </c>
      <c r="G1345" s="22">
        <f t="shared" si="338"/>
        <v>0</v>
      </c>
      <c r="H1345" s="22">
        <f t="shared" si="338"/>
        <v>0</v>
      </c>
      <c r="I1345" s="22">
        <f t="shared" si="338"/>
        <v>0</v>
      </c>
      <c r="J1345" s="36">
        <f t="shared" si="338"/>
        <v>145277.52000000002</v>
      </c>
      <c r="K1345" s="19">
        <f t="shared" si="339"/>
        <v>145277.52000000002</v>
      </c>
      <c r="L1345" s="19">
        <f t="shared" si="335"/>
        <v>86939.420000000027</v>
      </c>
      <c r="R1345" s="40">
        <f t="shared" si="337"/>
        <v>145277.52000000002</v>
      </c>
    </row>
    <row r="1346" spans="1:20" x14ac:dyDescent="0.25">
      <c r="A1346" s="39" t="s">
        <v>17</v>
      </c>
      <c r="B1346" s="38">
        <f t="shared" si="340"/>
        <v>16518.5</v>
      </c>
      <c r="C1346" s="22">
        <f t="shared" si="338"/>
        <v>0</v>
      </c>
      <c r="D1346" s="22">
        <f t="shared" si="338"/>
        <v>0</v>
      </c>
      <c r="E1346" s="22">
        <f t="shared" si="338"/>
        <v>0</v>
      </c>
      <c r="F1346" s="22">
        <f t="shared" si="338"/>
        <v>0</v>
      </c>
      <c r="G1346" s="22">
        <f t="shared" si="338"/>
        <v>0</v>
      </c>
      <c r="H1346" s="22">
        <f t="shared" si="338"/>
        <v>0</v>
      </c>
      <c r="I1346" s="22">
        <f t="shared" si="338"/>
        <v>0</v>
      </c>
      <c r="J1346" s="36">
        <f t="shared" si="338"/>
        <v>16518.5</v>
      </c>
      <c r="K1346" s="19">
        <f t="shared" si="339"/>
        <v>16518.5</v>
      </c>
      <c r="L1346" s="19">
        <f t="shared" si="335"/>
        <v>1890.9699999999993</v>
      </c>
      <c r="R1346" s="40">
        <f t="shared" si="337"/>
        <v>16518.5</v>
      </c>
    </row>
    <row r="1347" spans="1:20" x14ac:dyDescent="0.25">
      <c r="A1347" s="39" t="s">
        <v>18</v>
      </c>
      <c r="B1347" s="38">
        <f t="shared" si="340"/>
        <v>200600.8</v>
      </c>
      <c r="C1347" s="22">
        <f t="shared" si="338"/>
        <v>0</v>
      </c>
      <c r="D1347" s="22">
        <f t="shared" si="338"/>
        <v>0</v>
      </c>
      <c r="E1347" s="22">
        <f t="shared" si="338"/>
        <v>0</v>
      </c>
      <c r="F1347" s="22">
        <f t="shared" si="338"/>
        <v>0</v>
      </c>
      <c r="G1347" s="22">
        <f t="shared" si="338"/>
        <v>80200</v>
      </c>
      <c r="H1347" s="22">
        <f t="shared" si="338"/>
        <v>0</v>
      </c>
      <c r="I1347" s="22">
        <f t="shared" si="338"/>
        <v>0</v>
      </c>
      <c r="J1347" s="36">
        <f t="shared" si="338"/>
        <v>280800.8000000001</v>
      </c>
      <c r="K1347" s="19">
        <f t="shared" si="339"/>
        <v>280800.8</v>
      </c>
      <c r="L1347" s="19">
        <f t="shared" si="335"/>
        <v>-45980.440000000061</v>
      </c>
      <c r="R1347" s="40">
        <f t="shared" si="337"/>
        <v>280800.8</v>
      </c>
      <c r="T1347" s="19"/>
    </row>
    <row r="1348" spans="1:20" x14ac:dyDescent="0.25">
      <c r="A1348" s="39" t="s">
        <v>19</v>
      </c>
      <c r="B1348" s="38">
        <f t="shared" si="340"/>
        <v>19321.12</v>
      </c>
      <c r="C1348" s="22">
        <f t="shared" si="338"/>
        <v>0</v>
      </c>
      <c r="D1348" s="22">
        <f t="shared" si="338"/>
        <v>0</v>
      </c>
      <c r="E1348" s="22">
        <f t="shared" si="338"/>
        <v>0</v>
      </c>
      <c r="F1348" s="22">
        <f t="shared" si="338"/>
        <v>0</v>
      </c>
      <c r="G1348" s="22">
        <f t="shared" si="338"/>
        <v>0</v>
      </c>
      <c r="H1348" s="22">
        <f t="shared" si="338"/>
        <v>0</v>
      </c>
      <c r="I1348" s="22">
        <f t="shared" si="338"/>
        <v>0</v>
      </c>
      <c r="J1348" s="36">
        <f t="shared" si="338"/>
        <v>19321.12</v>
      </c>
      <c r="K1348" s="19">
        <f t="shared" si="339"/>
        <v>19321.12</v>
      </c>
      <c r="L1348" s="19">
        <f t="shared" si="335"/>
        <v>-62083.09</v>
      </c>
      <c r="R1348" s="40">
        <f t="shared" si="337"/>
        <v>19321.12</v>
      </c>
    </row>
    <row r="1349" spans="1:20" x14ac:dyDescent="0.25">
      <c r="A1349" s="39" t="s">
        <v>20</v>
      </c>
      <c r="B1349" s="38">
        <f t="shared" si="340"/>
        <v>240252.31999999998</v>
      </c>
      <c r="C1349" s="22">
        <f t="shared" si="338"/>
        <v>0</v>
      </c>
      <c r="D1349" s="22">
        <f t="shared" si="338"/>
        <v>0</v>
      </c>
      <c r="E1349" s="22">
        <f t="shared" si="338"/>
        <v>0</v>
      </c>
      <c r="F1349" s="22">
        <f t="shared" si="338"/>
        <v>0</v>
      </c>
      <c r="G1349" s="22">
        <f t="shared" si="338"/>
        <v>65593.440000000002</v>
      </c>
      <c r="H1349" s="22">
        <f t="shared" si="338"/>
        <v>0</v>
      </c>
      <c r="I1349" s="22">
        <f t="shared" si="338"/>
        <v>0</v>
      </c>
      <c r="J1349" s="36">
        <f t="shared" si="338"/>
        <v>305845.76000000007</v>
      </c>
      <c r="K1349" s="19">
        <f t="shared" si="339"/>
        <v>305845.76000000001</v>
      </c>
      <c r="L1349" s="19">
        <f t="shared" si="335"/>
        <v>26945.440000000061</v>
      </c>
      <c r="R1349" s="40">
        <f t="shared" si="337"/>
        <v>305845.76000000001</v>
      </c>
    </row>
    <row r="1350" spans="1:20" x14ac:dyDescent="0.25">
      <c r="A1350" s="39" t="s">
        <v>120</v>
      </c>
      <c r="B1350" s="38"/>
      <c r="C1350" s="22"/>
      <c r="D1350" s="22"/>
      <c r="E1350" s="22"/>
      <c r="F1350" s="22"/>
      <c r="G1350" s="22">
        <f>G1075</f>
        <v>7862.5</v>
      </c>
      <c r="H1350" s="22"/>
      <c r="I1350" s="22"/>
      <c r="J1350" s="36">
        <f>G1350</f>
        <v>7862.5</v>
      </c>
      <c r="K1350" s="19"/>
      <c r="L1350" s="19"/>
      <c r="R1350" s="40">
        <f t="shared" si="337"/>
        <v>7862.5</v>
      </c>
    </row>
    <row r="1351" spans="1:20" x14ac:dyDescent="0.25">
      <c r="A1351" s="10" t="s">
        <v>32</v>
      </c>
      <c r="B1351" s="15">
        <f>B1352</f>
        <v>0</v>
      </c>
      <c r="C1351" s="15">
        <f t="shared" ref="C1351:J1351" si="341">C1352</f>
        <v>0</v>
      </c>
      <c r="D1351" s="15">
        <f t="shared" si="341"/>
        <v>214500</v>
      </c>
      <c r="E1351" s="15">
        <f t="shared" si="341"/>
        <v>0</v>
      </c>
      <c r="F1351" s="15">
        <f t="shared" si="341"/>
        <v>0</v>
      </c>
      <c r="G1351" s="15">
        <f t="shared" si="341"/>
        <v>122000</v>
      </c>
      <c r="H1351" s="22">
        <f t="shared" si="341"/>
        <v>0</v>
      </c>
      <c r="I1351" s="15">
        <f t="shared" si="341"/>
        <v>0</v>
      </c>
      <c r="J1351" s="15">
        <f t="shared" si="341"/>
        <v>336500</v>
      </c>
      <c r="K1351" s="19">
        <f t="shared" si="339"/>
        <v>336500</v>
      </c>
      <c r="L1351" s="19">
        <f t="shared" ref="L1351" si="342">K1351-E1368</f>
        <v>336500</v>
      </c>
    </row>
    <row r="1352" spans="1:20" x14ac:dyDescent="0.25">
      <c r="A1352" s="23" t="s">
        <v>114</v>
      </c>
      <c r="B1352" s="22">
        <f>B20+B36+B52+B68+B84+B100+B116+B132+B148+B164+B180+B196+B212+B228+B244+B260+B276+B292+B308+B324+B340+B356+B372+B388+B404+B420+B436+B452+B468+B484+B500+B516+B532+B548+B564+B580+B596+B612+B628+B644+B660+B676+B692+B708+B724+B740+B756+B772+B788+B804+B820+B836+B852+B868+B884+B900+B916+B932+B948+B964+B980+B996+B1012+B1028+B1044+B1060+B1077+B1093+B1109+B1125+B1141+B1157+B1173+B1189+B1205+B1221+B1237+B1253+B1269+B1285+B1301+B1317</f>
        <v>0</v>
      </c>
      <c r="C1352" s="22">
        <f t="shared" ref="C1352:J1352" si="343">C20+C36+C52+C68+C84+C100+C116+C132+C148+C164+C180+C196+C212+C228+C244+C260+C276+C292+C308+C324+C340+C356+C372+C388+C404+C420+C436+C452+C468+C484+C500+C516+C532+C548+C564+C580+C596+C612+C628+C644+C660+C676+C692+C708+C724+C740+C756+C772+C788+C804+C820+C836+C852+C868+C884+C900+C916+C932+C948+C964+C980+C996+C1012+C1028+C1044+C1060+C1077+C1093+C1109+C1125+C1141+C1157+C1173+C1189+C1205+C1221+C1237+C1253+C1269+C1285+C1301+C1317</f>
        <v>0</v>
      </c>
      <c r="D1352" s="41">
        <f t="shared" si="343"/>
        <v>214500</v>
      </c>
      <c r="E1352" s="22">
        <f t="shared" si="343"/>
        <v>0</v>
      </c>
      <c r="F1352" s="22">
        <f t="shared" si="343"/>
        <v>0</v>
      </c>
      <c r="G1352" s="22">
        <f>G20+G36+G52+G68+G84+G100+G116+G132+G148+G164+G180+G196+G212+G228+G244+G260+G276+G292+G308+G324+G340+G356+G372+G388+G404+G420+G436+G452+G468+G484+G500+G516+G532+G548+G564+G580+G596+G612+G628+G644+G660+G676+G692+G708+G724+G740+G756+G772+G788+G804+G820+G836+G852+G868+G884+G900+G916+G932+G948+G964+G980+G996+G1012+G1028+G1044+G1060+G1077+G1093+G1109+G1125+G1141+G1157+G1173+G1189+G1205+G1221+G1237+G1253+G1269+G1285+G1301+G1317</f>
        <v>122000</v>
      </c>
      <c r="H1352" s="22">
        <f t="shared" si="343"/>
        <v>0</v>
      </c>
      <c r="I1352" s="22">
        <f t="shared" si="343"/>
        <v>0</v>
      </c>
      <c r="J1352" s="32">
        <f t="shared" si="343"/>
        <v>336500</v>
      </c>
      <c r="R1352" s="19"/>
    </row>
    <row r="1355" spans="1:20" ht="15.75" x14ac:dyDescent="0.25">
      <c r="A1355" s="35" t="s">
        <v>33</v>
      </c>
      <c r="D1355" s="19"/>
      <c r="E1355" s="19"/>
    </row>
    <row r="1356" spans="1:20" ht="15.75" x14ac:dyDescent="0.25">
      <c r="A1356" s="35"/>
      <c r="D1356" s="19"/>
      <c r="F1356" s="19"/>
      <c r="G1356" s="19"/>
      <c r="H1356" s="19"/>
    </row>
    <row r="1357" spans="1:20" ht="31.5" customHeight="1" x14ac:dyDescent="0.25">
      <c r="A1357" s="35" t="s">
        <v>34</v>
      </c>
      <c r="D1357" s="19"/>
      <c r="H1357" s="19"/>
    </row>
    <row r="1358" spans="1:20" x14ac:dyDescent="0.25">
      <c r="D1358" s="19"/>
    </row>
    <row r="1359" spans="1:20" ht="18.75" hidden="1" x14ac:dyDescent="0.3">
      <c r="A1359" s="30" t="s">
        <v>117</v>
      </c>
      <c r="B1359" s="27">
        <v>10994162.73</v>
      </c>
      <c r="C1359" t="s">
        <v>115</v>
      </c>
      <c r="D1359" s="24">
        <v>2210</v>
      </c>
      <c r="E1359" s="24">
        <v>819832.99999999988</v>
      </c>
      <c r="H1359" s="19">
        <f>B1337+G1337</f>
        <v>1142869.3400000005</v>
      </c>
    </row>
    <row r="1360" spans="1:20" ht="15.75" hidden="1" x14ac:dyDescent="0.25">
      <c r="B1360" s="28">
        <v>8610049.3800000008</v>
      </c>
      <c r="C1360" t="s">
        <v>116</v>
      </c>
      <c r="D1360" s="24">
        <v>2220</v>
      </c>
      <c r="E1360" s="24">
        <v>493851.2</v>
      </c>
      <c r="H1360" s="19"/>
    </row>
    <row r="1361" spans="1:9" hidden="1" x14ac:dyDescent="0.25">
      <c r="D1361" s="24">
        <v>2240</v>
      </c>
      <c r="E1361" s="24">
        <v>207931.93</v>
      </c>
      <c r="G1361" s="19"/>
      <c r="H1361" s="19"/>
    </row>
    <row r="1362" spans="1:9" hidden="1" x14ac:dyDescent="0.25">
      <c r="B1362" s="19">
        <f>B1359-B1360</f>
        <v>2384113.3499999996</v>
      </c>
      <c r="D1362" s="24">
        <v>2250</v>
      </c>
      <c r="E1362" s="24">
        <v>102445.82</v>
      </c>
      <c r="F1362" s="19"/>
      <c r="G1362" s="19"/>
      <c r="H1362" s="19"/>
      <c r="I1362" s="19"/>
    </row>
    <row r="1363" spans="1:9" hidden="1" x14ac:dyDescent="0.25">
      <c r="D1363" s="24">
        <v>2271</v>
      </c>
      <c r="E1363" s="24">
        <v>58338.099999999991</v>
      </c>
      <c r="G1363" s="19"/>
      <c r="H1363" s="19"/>
    </row>
    <row r="1364" spans="1:9" hidden="1" x14ac:dyDescent="0.25">
      <c r="D1364" s="24">
        <v>2272</v>
      </c>
      <c r="E1364" s="24">
        <v>14627.53</v>
      </c>
    </row>
    <row r="1365" spans="1:9" ht="18.75" hidden="1" x14ac:dyDescent="0.3">
      <c r="A1365" s="30" t="s">
        <v>114</v>
      </c>
      <c r="B1365" s="31">
        <v>1165704.96</v>
      </c>
      <c r="D1365" s="24">
        <v>2273</v>
      </c>
      <c r="E1365" s="24">
        <v>326781.24000000005</v>
      </c>
    </row>
    <row r="1366" spans="1:9" hidden="1" x14ac:dyDescent="0.25">
      <c r="D1366" s="24">
        <v>2274</v>
      </c>
      <c r="E1366" s="24">
        <v>81404.209999999992</v>
      </c>
    </row>
    <row r="1367" spans="1:9" hidden="1" x14ac:dyDescent="0.25">
      <c r="D1367" s="29">
        <v>2275</v>
      </c>
      <c r="E1367" s="29">
        <v>278900.31999999995</v>
      </c>
    </row>
    <row r="1368" spans="1:9" hidden="1" x14ac:dyDescent="0.25"/>
    <row r="1369" spans="1:9" ht="15.75" hidden="1" x14ac:dyDescent="0.25">
      <c r="E1369" s="26">
        <f>SUM(E1359:E1367)</f>
        <v>2384113.35</v>
      </c>
    </row>
    <row r="1370" spans="1:9" hidden="1" x14ac:dyDescent="0.25"/>
    <row r="1371" spans="1:9" hidden="1" x14ac:dyDescent="0.25"/>
    <row r="1374" spans="1:9" x14ac:dyDescent="0.25">
      <c r="D1374" s="37"/>
      <c r="E1374" s="19"/>
    </row>
    <row r="1375" spans="1:9" x14ac:dyDescent="0.25">
      <c r="D1375" s="19"/>
    </row>
  </sheetData>
  <autoFilter ref="A7:T1352"/>
  <mergeCells count="5">
    <mergeCell ref="A4:A5"/>
    <mergeCell ref="J4:J5"/>
    <mergeCell ref="B4:I4"/>
    <mergeCell ref="A1:J1"/>
    <mergeCell ref="B2:I2"/>
  </mergeCells>
  <pageMargins left="0.70866141732283472" right="0.27559055118110237" top="0.31496062992125984" bottom="0.27559055118110237" header="0.31496062992125984" footer="0.31496062992125984"/>
  <pageSetup paperSize="9" scale="53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Curnos™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2019-09-06T07:51:21Z</cp:lastPrinted>
  <dcterms:created xsi:type="dcterms:W3CDTF">2019-03-15T12:50:08Z</dcterms:created>
  <dcterms:modified xsi:type="dcterms:W3CDTF">2019-09-06T07:51:36Z</dcterms:modified>
</cp:coreProperties>
</file>