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20700" windowHeight="7800" tabRatio="631"/>
  </bookViews>
  <sheets>
    <sheet name="фінплан" sheetId="2" r:id="rId1"/>
    <sheet name="таблиця 1" sheetId="1" r:id="rId2"/>
    <sheet name="таблиця 2" sheetId="3" r:id="rId3"/>
    <sheet name="таблиця 3" sheetId="5" r:id="rId4"/>
    <sheet name="Таблиця 4" sheetId="7" r:id="rId5"/>
    <sheet name="Таблиця 5" sheetId="8" r:id="rId6"/>
    <sheet name="Таблиця 5.1" sheetId="9" r:id="rId7"/>
    <sheet name="Таблиця 6" sheetId="10" r:id="rId8"/>
    <sheet name="Таблиця 7" sheetId="11" r:id="rId9"/>
  </sheets>
  <externalReferences>
    <externalReference r:id="rId10"/>
  </externalReferences>
  <definedNames>
    <definedName name="_xlnm.Print_Titles" localSheetId="5">'Таблиця 5'!$39:$39</definedName>
    <definedName name="_xlnm.Print_Titles" localSheetId="0">фінплан!$33:$34</definedName>
  </definedNames>
  <calcPr calcId="145621"/>
</workbook>
</file>

<file path=xl/calcChain.xml><?xml version="1.0" encoding="utf-8"?>
<calcChain xmlns="http://schemas.openxmlformats.org/spreadsheetml/2006/main">
  <c r="G27" i="7" l="1"/>
  <c r="J27" i="7"/>
  <c r="I27" i="7"/>
  <c r="H27" i="7"/>
  <c r="G35" i="7"/>
  <c r="J35" i="7"/>
  <c r="I35" i="7"/>
  <c r="H35" i="7"/>
  <c r="J37" i="7"/>
  <c r="I37" i="7"/>
  <c r="H37" i="7"/>
  <c r="G37" i="7"/>
  <c r="G38" i="7"/>
  <c r="I36" i="7"/>
  <c r="G34" i="7"/>
  <c r="J34" i="7"/>
  <c r="I34" i="7"/>
  <c r="H34" i="7"/>
  <c r="J33" i="7"/>
  <c r="I33" i="7"/>
  <c r="H33" i="7"/>
  <c r="G33" i="7"/>
  <c r="J32" i="7"/>
  <c r="I32" i="7"/>
  <c r="H32" i="7"/>
  <c r="G32" i="7"/>
  <c r="J31" i="7"/>
  <c r="I31" i="7"/>
  <c r="G30" i="7"/>
  <c r="H31" i="7"/>
  <c r="G31" i="7"/>
  <c r="F36" i="7"/>
  <c r="F34" i="7"/>
  <c r="J30" i="7"/>
  <c r="J29" i="7" s="1"/>
  <c r="I30" i="7"/>
  <c r="I29" i="7" s="1"/>
  <c r="H30" i="7"/>
  <c r="H29" i="7" s="1"/>
  <c r="J9" i="7"/>
  <c r="I9" i="7"/>
  <c r="H9" i="7"/>
  <c r="G9" i="7"/>
  <c r="E26" i="7"/>
  <c r="E27" i="7"/>
  <c r="E37" i="7"/>
  <c r="E38" i="7"/>
  <c r="E36" i="7"/>
  <c r="E35" i="7"/>
  <c r="E34" i="7"/>
  <c r="E33" i="7"/>
  <c r="E32" i="7"/>
  <c r="E31" i="7"/>
  <c r="E30" i="7"/>
  <c r="E14" i="7"/>
  <c r="E15" i="7"/>
  <c r="E9" i="7"/>
  <c r="E8" i="7" s="1"/>
  <c r="E10" i="7"/>
  <c r="D10" i="7"/>
  <c r="D37" i="7"/>
  <c r="D36" i="7"/>
  <c r="D35" i="7"/>
  <c r="D32" i="7"/>
  <c r="D34" i="7"/>
  <c r="D33" i="7"/>
  <c r="D31" i="7"/>
  <c r="D30" i="7"/>
  <c r="D29" i="7" s="1"/>
  <c r="D26" i="7"/>
  <c r="D9" i="7"/>
  <c r="D8" i="7" s="1"/>
  <c r="D15" i="7"/>
  <c r="C33" i="7"/>
  <c r="C29" i="7" s="1"/>
  <c r="C7" i="11"/>
  <c r="F20" i="10"/>
  <c r="G105" i="2"/>
  <c r="I19" i="10" s="1"/>
  <c r="I16" i="10" s="1"/>
  <c r="I21" i="10" s="1"/>
  <c r="F105" i="2"/>
  <c r="F104" i="2" s="1"/>
  <c r="E105" i="2"/>
  <c r="G19" i="10" s="1"/>
  <c r="G16" i="10" s="1"/>
  <c r="G21" i="10" s="1"/>
  <c r="D105" i="2"/>
  <c r="F19" i="10" s="1"/>
  <c r="I12" i="3"/>
  <c r="H12" i="3"/>
  <c r="G12" i="3"/>
  <c r="F12" i="3"/>
  <c r="F10" i="3"/>
  <c r="F8" i="3" s="1"/>
  <c r="G37" i="2"/>
  <c r="J10" i="7" s="1"/>
  <c r="F37" i="2"/>
  <c r="I10" i="7" s="1"/>
  <c r="E37" i="2"/>
  <c r="H10" i="7" s="1"/>
  <c r="D37" i="2"/>
  <c r="G10" i="7" s="1"/>
  <c r="G44" i="2"/>
  <c r="G95" i="2" s="1"/>
  <c r="F44" i="2"/>
  <c r="E20" i="10"/>
  <c r="C8" i="10"/>
  <c r="C13" i="10"/>
  <c r="C16" i="10"/>
  <c r="D75" i="8"/>
  <c r="D73" i="8" s="1"/>
  <c r="G75" i="8"/>
  <c r="G73" i="8" s="1"/>
  <c r="D46" i="8"/>
  <c r="G46" i="8"/>
  <c r="J64" i="8"/>
  <c r="G64" i="8"/>
  <c r="D64" i="8"/>
  <c r="J55" i="8"/>
  <c r="J46" i="8" s="1"/>
  <c r="L8" i="9"/>
  <c r="I8" i="9" s="1"/>
  <c r="M24" i="8"/>
  <c r="P24" i="8"/>
  <c r="I22" i="8"/>
  <c r="A6" i="8"/>
  <c r="C37" i="7"/>
  <c r="F16" i="7"/>
  <c r="F15" i="7"/>
  <c r="F14" i="7"/>
  <c r="F13" i="7"/>
  <c r="C14" i="5"/>
  <c r="C13" i="5"/>
  <c r="C12" i="5"/>
  <c r="C11" i="5"/>
  <c r="C10" i="5"/>
  <c r="C9" i="5"/>
  <c r="C8" i="5"/>
  <c r="C6" i="5"/>
  <c r="C7" i="5"/>
  <c r="H8" i="5"/>
  <c r="H9" i="5"/>
  <c r="H10" i="5"/>
  <c r="H11" i="5"/>
  <c r="H12" i="5"/>
  <c r="H13" i="5"/>
  <c r="H14" i="5"/>
  <c r="G14" i="5"/>
  <c r="G13" i="5"/>
  <c r="F13" i="5"/>
  <c r="G12" i="5"/>
  <c r="G11" i="5"/>
  <c r="G10" i="5"/>
  <c r="G9" i="5"/>
  <c r="G8" i="5"/>
  <c r="G7" i="5"/>
  <c r="G6" i="5"/>
  <c r="F12" i="5"/>
  <c r="F11" i="5"/>
  <c r="F10" i="5"/>
  <c r="F9" i="5"/>
  <c r="F8" i="5"/>
  <c r="F7" i="5"/>
  <c r="F6" i="5"/>
  <c r="F14" i="5"/>
  <c r="K7" i="11"/>
  <c r="E14" i="5"/>
  <c r="E13" i="5"/>
  <c r="E12" i="5"/>
  <c r="E11" i="5"/>
  <c r="E10" i="5"/>
  <c r="E9" i="5"/>
  <c r="D9" i="5"/>
  <c r="E8" i="5"/>
  <c r="E7" i="5"/>
  <c r="E6" i="5"/>
  <c r="D14" i="5"/>
  <c r="D13" i="5"/>
  <c r="D12" i="5"/>
  <c r="D11" i="5"/>
  <c r="D10" i="5"/>
  <c r="D8" i="5"/>
  <c r="D7" i="5"/>
  <c r="D6" i="5"/>
  <c r="I8" i="1"/>
  <c r="J26" i="7" s="1"/>
  <c r="J25" i="7" s="1"/>
  <c r="H8" i="1"/>
  <c r="I26" i="7" s="1"/>
  <c r="I25" i="7" s="1"/>
  <c r="G8" i="1"/>
  <c r="H26" i="7" s="1"/>
  <c r="H25" i="7" s="1"/>
  <c r="F8" i="1"/>
  <c r="G26" i="7" s="1"/>
  <c r="E104" i="2"/>
  <c r="E112" i="2" s="1"/>
  <c r="E113" i="2" s="1"/>
  <c r="D104" i="2"/>
  <c r="D112" i="2" s="1"/>
  <c r="D113" i="2" s="1"/>
  <c r="C105" i="2"/>
  <c r="F95" i="2"/>
  <c r="C76" i="2"/>
  <c r="E48" i="2"/>
  <c r="E44" i="2"/>
  <c r="E95" i="2" s="1"/>
  <c r="D44" i="2"/>
  <c r="D95" i="2" s="1"/>
  <c r="G48" i="2"/>
  <c r="G99" i="2" s="1"/>
  <c r="I14" i="1" s="1"/>
  <c r="F48" i="2"/>
  <c r="F99" i="2" s="1"/>
  <c r="D48" i="2"/>
  <c r="D99" i="2" s="1"/>
  <c r="F14" i="1" s="1"/>
  <c r="G47" i="2"/>
  <c r="G98" i="2" s="1"/>
  <c r="I13" i="1" s="1"/>
  <c r="F47" i="2"/>
  <c r="F98" i="2" s="1"/>
  <c r="H13" i="1" s="1"/>
  <c r="E47" i="2"/>
  <c r="E98" i="2" s="1"/>
  <c r="G13" i="1" s="1"/>
  <c r="D47" i="2"/>
  <c r="D98" i="2" s="1"/>
  <c r="F13" i="1" s="1"/>
  <c r="G46" i="2"/>
  <c r="G97" i="2" s="1"/>
  <c r="I12" i="1" s="1"/>
  <c r="F46" i="2"/>
  <c r="F97" i="2" s="1"/>
  <c r="H12" i="1" s="1"/>
  <c r="E46" i="2"/>
  <c r="E97" i="2" s="1"/>
  <c r="D46" i="2"/>
  <c r="D97" i="2" s="1"/>
  <c r="F12" i="1" s="1"/>
  <c r="G45" i="2"/>
  <c r="G96" i="2" s="1"/>
  <c r="I11" i="1" s="1"/>
  <c r="F45" i="2"/>
  <c r="F96" i="2" s="1"/>
  <c r="H11" i="1" s="1"/>
  <c r="E45" i="2"/>
  <c r="E96" i="2" s="1"/>
  <c r="D45" i="2"/>
  <c r="D96" i="2" s="1"/>
  <c r="F11" i="1" s="1"/>
  <c r="G42" i="2"/>
  <c r="D42" i="2"/>
  <c r="C44" i="2"/>
  <c r="C52" i="2"/>
  <c r="G68" i="2"/>
  <c r="F68" i="2"/>
  <c r="E68" i="2"/>
  <c r="D68" i="2"/>
  <c r="C73" i="2"/>
  <c r="J80" i="8" s="1"/>
  <c r="C72" i="2"/>
  <c r="J79" i="8" s="1"/>
  <c r="C71" i="2"/>
  <c r="J78" i="8" s="1"/>
  <c r="C70" i="2"/>
  <c r="J77" i="8" s="1"/>
  <c r="C69" i="2"/>
  <c r="J76" i="8" s="1"/>
  <c r="G62" i="2"/>
  <c r="F62" i="2"/>
  <c r="E62" i="2"/>
  <c r="D62" i="2"/>
  <c r="C67" i="2"/>
  <c r="C66" i="2"/>
  <c r="C65" i="2"/>
  <c r="C64" i="2"/>
  <c r="C63" i="2"/>
  <c r="G56" i="2"/>
  <c r="F56" i="2"/>
  <c r="E56" i="2"/>
  <c r="D56" i="2"/>
  <c r="C61" i="2"/>
  <c r="C60" i="2"/>
  <c r="C59" i="2"/>
  <c r="C58" i="2"/>
  <c r="C57" i="2"/>
  <c r="C40" i="2"/>
  <c r="C39" i="2"/>
  <c r="C36" i="2"/>
  <c r="G38" i="2"/>
  <c r="G41" i="2" s="1"/>
  <c r="G50" i="2" s="1"/>
  <c r="G75" i="2" s="1"/>
  <c r="G87" i="2" s="1"/>
  <c r="F38" i="2"/>
  <c r="F41" i="2" s="1"/>
  <c r="E38" i="2"/>
  <c r="E41" i="2" s="1"/>
  <c r="D38" i="2"/>
  <c r="D41" i="2" s="1"/>
  <c r="E17" i="10"/>
  <c r="E14" i="10"/>
  <c r="E13" i="10"/>
  <c r="E12" i="10"/>
  <c r="E9" i="10"/>
  <c r="E8" i="10"/>
  <c r="G27" i="9"/>
  <c r="M27" i="9" s="1"/>
  <c r="I27" i="9"/>
  <c r="K27" i="9"/>
  <c r="L36" i="8"/>
  <c r="C36" i="8"/>
  <c r="I9" i="9"/>
  <c r="I10" i="9"/>
  <c r="J13" i="9"/>
  <c r="K13" i="9"/>
  <c r="L13" i="9"/>
  <c r="M13" i="9"/>
  <c r="N13" i="9"/>
  <c r="G10" i="3"/>
  <c r="G8" i="3" s="1"/>
  <c r="H10" i="3"/>
  <c r="H8" i="3" s="1"/>
  <c r="I10" i="3"/>
  <c r="I8" i="3" s="1"/>
  <c r="D10" i="3"/>
  <c r="D8" i="3" s="1"/>
  <c r="C10" i="3"/>
  <c r="C8" i="3" s="1"/>
  <c r="C46" i="7"/>
  <c r="D17" i="7"/>
  <c r="D22" i="7"/>
  <c r="D40" i="7"/>
  <c r="D46" i="7"/>
  <c r="E17" i="7"/>
  <c r="E22" i="7"/>
  <c r="E40" i="7"/>
  <c r="E46" i="7"/>
  <c r="G17" i="7"/>
  <c r="G22" i="7"/>
  <c r="G40" i="7"/>
  <c r="G46" i="7"/>
  <c r="H17" i="7"/>
  <c r="H22" i="7"/>
  <c r="H40" i="7"/>
  <c r="H46" i="7"/>
  <c r="I17" i="7"/>
  <c r="I22" i="7"/>
  <c r="I40" i="7"/>
  <c r="I46" i="7"/>
  <c r="J17" i="7"/>
  <c r="J22" i="7"/>
  <c r="J40" i="7"/>
  <c r="J46" i="7"/>
  <c r="F48" i="7"/>
  <c r="F41" i="7"/>
  <c r="F42" i="7"/>
  <c r="F43" i="7"/>
  <c r="F44" i="7"/>
  <c r="F45" i="7"/>
  <c r="F47" i="7"/>
  <c r="F28" i="7"/>
  <c r="F23" i="7"/>
  <c r="F24" i="7"/>
  <c r="F18" i="7"/>
  <c r="F19" i="7"/>
  <c r="F20" i="7"/>
  <c r="F21" i="7"/>
  <c r="F11" i="7"/>
  <c r="F12" i="7"/>
  <c r="E17" i="3"/>
  <c r="E16" i="3"/>
  <c r="E15" i="3"/>
  <c r="E14" i="3"/>
  <c r="E13" i="3"/>
  <c r="E11" i="3"/>
  <c r="E10" i="1"/>
  <c r="E9" i="1"/>
  <c r="C68" i="2"/>
  <c r="C62" i="2"/>
  <c r="C56" i="2"/>
  <c r="I21" i="8"/>
  <c r="F23" i="8"/>
  <c r="F21" i="8"/>
  <c r="F22" i="8"/>
  <c r="I23" i="8"/>
  <c r="I13" i="9"/>
  <c r="E12" i="3"/>
  <c r="E8" i="1"/>
  <c r="C38" i="2"/>
  <c r="C25" i="7" l="1"/>
  <c r="C51" i="7" s="1"/>
  <c r="D25" i="7"/>
  <c r="E29" i="7"/>
  <c r="E25" i="7" s="1"/>
  <c r="G29" i="7"/>
  <c r="G25" i="7" s="1"/>
  <c r="G8" i="7"/>
  <c r="I8" i="7"/>
  <c r="H8" i="7"/>
  <c r="J8" i="7"/>
  <c r="C47" i="2"/>
  <c r="I15" i="1"/>
  <c r="C48" i="2"/>
  <c r="F30" i="7"/>
  <c r="F31" i="7"/>
  <c r="F32" i="7"/>
  <c r="F35" i="7"/>
  <c r="F33" i="7"/>
  <c r="F46" i="7"/>
  <c r="F40" i="7"/>
  <c r="F22" i="7"/>
  <c r="F17" i="7"/>
  <c r="F9" i="7"/>
  <c r="C21" i="10"/>
  <c r="G89" i="2"/>
  <c r="G91" i="2" s="1"/>
  <c r="G12" i="1"/>
  <c r="C97" i="2"/>
  <c r="H14" i="1"/>
  <c r="F100" i="2"/>
  <c r="D100" i="2"/>
  <c r="C95" i="2"/>
  <c r="F15" i="1"/>
  <c r="F29" i="7"/>
  <c r="E12" i="1"/>
  <c r="D50" i="2"/>
  <c r="C41" i="2"/>
  <c r="F10" i="7"/>
  <c r="J75" i="8"/>
  <c r="J73" i="8" s="1"/>
  <c r="G11" i="1"/>
  <c r="C96" i="2"/>
  <c r="F16" i="10"/>
  <c r="F21" i="10" s="1"/>
  <c r="F112" i="2"/>
  <c r="F113" i="2" s="1"/>
  <c r="G100" i="2"/>
  <c r="E99" i="2"/>
  <c r="H19" i="10"/>
  <c r="H16" i="10" s="1"/>
  <c r="H21" i="10" s="1"/>
  <c r="C45" i="2"/>
  <c r="C46" i="2"/>
  <c r="E42" i="2"/>
  <c r="F42" i="2"/>
  <c r="F50" i="2" s="1"/>
  <c r="F75" i="2" s="1"/>
  <c r="F87" i="2" s="1"/>
  <c r="C98" i="2"/>
  <c r="H15" i="1"/>
  <c r="C37" i="2"/>
  <c r="G104" i="2"/>
  <c r="G112" i="2" s="1"/>
  <c r="G113" i="2" s="1"/>
  <c r="F38" i="7"/>
  <c r="E8" i="3"/>
  <c r="F26" i="7"/>
  <c r="E10" i="3"/>
  <c r="E13" i="1"/>
  <c r="D50" i="7" l="1"/>
  <c r="D51" i="7" s="1"/>
  <c r="D52" i="7" s="1"/>
  <c r="C52" i="7"/>
  <c r="E16" i="10"/>
  <c r="C42" i="2"/>
  <c r="J45" i="8" s="1"/>
  <c r="C104" i="2"/>
  <c r="C112" i="2" s="1"/>
  <c r="C113" i="2" s="1"/>
  <c r="E19" i="10"/>
  <c r="F8" i="7"/>
  <c r="F27" i="7"/>
  <c r="F89" i="2"/>
  <c r="F91" i="2" s="1"/>
  <c r="G14" i="1"/>
  <c r="G15" i="1" s="1"/>
  <c r="E15" i="1" s="1"/>
  <c r="C99" i="2"/>
  <c r="C100" i="2" s="1"/>
  <c r="D75" i="2"/>
  <c r="E100" i="2"/>
  <c r="E11" i="1"/>
  <c r="E21" i="10"/>
  <c r="E50" i="2"/>
  <c r="E75" i="2" s="1"/>
  <c r="E87" i="2" s="1"/>
  <c r="E50" i="7" l="1"/>
  <c r="E51" i="7" s="1"/>
  <c r="F50" i="7" s="1"/>
  <c r="D87" i="2"/>
  <c r="C75" i="2"/>
  <c r="E89" i="2"/>
  <c r="E91" i="2"/>
  <c r="F39" i="7"/>
  <c r="E14" i="1"/>
  <c r="C50" i="2"/>
  <c r="G50" i="7" l="1"/>
  <c r="G51" i="7" s="1"/>
  <c r="G52" i="7" s="1"/>
  <c r="E52" i="7"/>
  <c r="F25" i="7"/>
  <c r="F37" i="7"/>
  <c r="D89" i="2"/>
  <c r="C89" i="2" s="1"/>
  <c r="C87" i="2"/>
  <c r="D91" i="2" l="1"/>
  <c r="C91" i="2" s="1"/>
  <c r="H50" i="7"/>
  <c r="H51" i="7" s="1"/>
  <c r="I50" i="7" s="1"/>
  <c r="I51" i="7" s="1"/>
  <c r="H52" i="7" l="1"/>
  <c r="J50" i="7"/>
  <c r="J51" i="7" s="1"/>
  <c r="I52" i="7"/>
  <c r="J52" i="7" l="1"/>
  <c r="F52" i="7" s="1"/>
  <c r="F51" i="7"/>
</calcChain>
</file>

<file path=xl/sharedStrings.xml><?xml version="1.0" encoding="utf-8"?>
<sst xmlns="http://schemas.openxmlformats.org/spreadsheetml/2006/main" count="647" uniqueCount="514">
  <si>
    <t>Керівник підприємства                                                       __________________                                                              ____________________</t>
  </si>
  <si>
    <t xml:space="preserve">(посада)                                                                                           (підпис)                                                                                        (ПІБ)  </t>
  </si>
  <si>
    <t>Код рядка</t>
  </si>
  <si>
    <t>Капітальні інвестиції, усього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</si>
  <si>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</si>
  <si>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</si>
  <si>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</si>
  <si>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</si>
  <si>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</si>
  <si>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Амортизація</t>
  </si>
  <si>
    <t>010</t>
  </si>
  <si>
    <t>020</t>
  </si>
  <si>
    <t>030</t>
  </si>
  <si>
    <t xml:space="preserve">                                                                                                                                  </t>
  </si>
  <si>
    <t xml:space="preserve">за ЄДРПОУ </t>
  </si>
  <si>
    <t>за ЗКГНГ</t>
  </si>
  <si>
    <t>за СПОДУ</t>
  </si>
  <si>
    <t xml:space="preserve">за  КВЕД  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</si>
  <si>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</si>
  <si>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</si>
  <si>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</si>
  <si>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</si>
  <si>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</si>
  <si>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</si>
  <si>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</si>
  <si>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</si>
  <si>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</si>
  <si>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</si>
  <si>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</si>
  <si>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</si>
  <si>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</si>
  <si>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</si>
  <si>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 xml:space="preserve">Місцезнаходження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</si>
  <si>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</si>
  <si>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</si>
  <si>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</si>
  <si>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</si>
  <si>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</si>
  <si>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</si>
  <si>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011</t>
  </si>
  <si>
    <t>012</t>
  </si>
  <si>
    <t>013</t>
  </si>
  <si>
    <t>014</t>
  </si>
  <si>
    <t>015</t>
  </si>
  <si>
    <t>податок на додану вартість</t>
  </si>
  <si>
    <t>016</t>
  </si>
  <si>
    <t>коди</t>
  </si>
  <si>
    <t>Рік</t>
  </si>
  <si>
    <t>Територія</t>
  </si>
  <si>
    <t>за КОАТУУ</t>
  </si>
  <si>
    <t>Одиниця виміру: тис. грн.</t>
  </si>
  <si>
    <t>Чисельність працівників</t>
  </si>
  <si>
    <t>факт минулого року</t>
  </si>
  <si>
    <t>Плановий рік (усього)</t>
  </si>
  <si>
    <t>інші непрямі податки</t>
  </si>
  <si>
    <t>005</t>
  </si>
  <si>
    <t>006</t>
  </si>
  <si>
    <t>007</t>
  </si>
  <si>
    <t>008</t>
  </si>
  <si>
    <t>009</t>
  </si>
  <si>
    <t>012/5</t>
  </si>
  <si>
    <t>017</t>
  </si>
  <si>
    <t>018</t>
  </si>
  <si>
    <t>019</t>
  </si>
  <si>
    <t>збиток</t>
  </si>
  <si>
    <t>031</t>
  </si>
  <si>
    <t>032</t>
  </si>
  <si>
    <t>033/7</t>
  </si>
  <si>
    <t>036/2</t>
  </si>
  <si>
    <t>Продовження додатка 1</t>
  </si>
  <si>
    <t>Таблиця 1</t>
  </si>
  <si>
    <t>Елементи операційних витрат</t>
  </si>
  <si>
    <t>І  квартал</t>
  </si>
  <si>
    <t>ІІ  квартал</t>
  </si>
  <si>
    <t>ІІІ  квартал</t>
  </si>
  <si>
    <t>ІV квартал</t>
  </si>
  <si>
    <t xml:space="preserve">У тому числі </t>
  </si>
  <si>
    <t>Матеріальні затрати, у тому числі</t>
  </si>
  <si>
    <t>витрати на сировину й основні матеріали</t>
  </si>
  <si>
    <t>001/1</t>
  </si>
  <si>
    <t>витрати на паливо та енергію</t>
  </si>
  <si>
    <t>001/2</t>
  </si>
  <si>
    <t>Інші операційні витрати</t>
  </si>
  <si>
    <t>Операційні витрати, усього</t>
  </si>
  <si>
    <t>Таблиця 2</t>
  </si>
  <si>
    <t>фінансовий план поточного року</t>
  </si>
  <si>
    <t>Капітальні інвестиції</t>
  </si>
  <si>
    <t>придбання (виготовлення) інших необоротних матеріальних активів</t>
  </si>
  <si>
    <t>Таблиця 3</t>
  </si>
  <si>
    <t>Коефіцієнтний аналіз</t>
  </si>
  <si>
    <t>на 01.01 факту минулого року</t>
  </si>
  <si>
    <t>на 01.04 факту минулого року</t>
  </si>
  <si>
    <t>на 01.07 факту минулого року</t>
  </si>
  <si>
    <t>на 01.10 факту минулого року</t>
  </si>
  <si>
    <t>на 01.01 факту поточного року</t>
  </si>
  <si>
    <t>на 01.04 факту поточного року</t>
  </si>
  <si>
    <t>Примітки</t>
  </si>
  <si>
    <t>Таблиця 4</t>
  </si>
  <si>
    <t>Рух грошових коштів</t>
  </si>
  <si>
    <t>Факт минулого року</t>
  </si>
  <si>
    <t>Прогнозний рух коштів на кінець поточного року</t>
  </si>
  <si>
    <t>У тому числі</t>
  </si>
  <si>
    <t>Надходження</t>
  </si>
  <si>
    <t>Керівник підприємства                                                                                  __________________                                                                                         ____________________</t>
  </si>
  <si>
    <t xml:space="preserve"> (посада)                                                                                                                         (підпис)                                                                                                                  (ПІБ)  </t>
  </si>
  <si>
    <t xml:space="preserve">І  квартал </t>
  </si>
  <si>
    <t>ІV  квартал</t>
  </si>
  <si>
    <t>Факт поточного року</t>
  </si>
  <si>
    <t xml:space="preserve">Плановий рік (усього) </t>
  </si>
  <si>
    <t xml:space="preserve">Цільове фінансування  </t>
  </si>
  <si>
    <t xml:space="preserve">Отримання короткострокових кредитів </t>
  </si>
  <si>
    <t>Аванси одержані</t>
  </si>
  <si>
    <t xml:space="preserve">Інші надходження (розшифрувати) </t>
  </si>
  <si>
    <t>Виручка від реалізації основних фондів</t>
  </si>
  <si>
    <t xml:space="preserve">Виручка від реалізації нематеріальних активів </t>
  </si>
  <si>
    <t xml:space="preserve">Отримання довгострокових кредитів </t>
  </si>
  <si>
    <t xml:space="preserve">Розрахунки за товари, роботи та послуги </t>
  </si>
  <si>
    <t xml:space="preserve">Розрахунки з оплати праці </t>
  </si>
  <si>
    <t xml:space="preserve">Повернення короткострокових кредитів </t>
  </si>
  <si>
    <t xml:space="preserve">Платежі в бюджет (розшифрувати) </t>
  </si>
  <si>
    <t>Інші витрати (розшифрувати)</t>
  </si>
  <si>
    <t xml:space="preserve">Придбання основних засобів  </t>
  </si>
  <si>
    <t xml:space="preserve">Капітальні вкладення  </t>
  </si>
  <si>
    <t xml:space="preserve">Придбання нематеріальних активів </t>
  </si>
  <si>
    <t xml:space="preserve">Сплата дивідендів </t>
  </si>
  <si>
    <t>Грошові кошти:</t>
  </si>
  <si>
    <t>на початок періоду</t>
  </si>
  <si>
    <t>Чистий грошовий потік</t>
  </si>
  <si>
    <t>Таблиця 5</t>
  </si>
  <si>
    <t>ІНФОРМАЦІЯ</t>
  </si>
  <si>
    <t>до фінансового плану</t>
  </si>
  <si>
    <t>(назва підприємства)</t>
  </si>
  <si>
    <t xml:space="preserve">1. Дані про підприємство </t>
  </si>
  <si>
    <t>загальна інформація про підприємство (резюме);</t>
  </si>
  <si>
    <t xml:space="preserve">персонал та фонд оплати праці: </t>
  </si>
  <si>
    <t>2. Перелік підприємств, які входять до консолідованого фінансового плану</t>
  </si>
  <si>
    <t>Підприємство</t>
  </si>
  <si>
    <t>Вид діяльності</t>
  </si>
  <si>
    <t>3. Інформація про бізнес підприємства (код рядка 005 фінансового плану)</t>
  </si>
  <si>
    <t>Питома вага  в загальному обсязі реалізації (у %)</t>
  </si>
  <si>
    <t>Фактичний показник отримання доходу (виручки) за минулий рік</t>
  </si>
  <si>
    <t>Плановий показник  отримання доходу (виручки) за плановий рік</t>
  </si>
  <si>
    <t>за минулий рік</t>
  </si>
  <si>
    <t>за плановий рік</t>
  </si>
  <si>
    <t>Х</t>
  </si>
  <si>
    <t>Разом: 100 %</t>
  </si>
  <si>
    <t>4. Діючі фінансові зобов’язання підприємства</t>
  </si>
  <si>
    <t>Назва банку</t>
  </si>
  <si>
    <t>Вид кредитного продукту та  цільове призначення</t>
  </si>
  <si>
    <t>Заборгованість на останню дату</t>
  </si>
  <si>
    <t>Забезпечення</t>
  </si>
  <si>
    <t xml:space="preserve">Усього </t>
  </si>
  <si>
    <t>х</t>
  </si>
  <si>
    <t xml:space="preserve">5. Аналіз окремих статей  фінансового плану </t>
  </si>
  <si>
    <t>Фінансовий план поточного року</t>
  </si>
  <si>
    <t>Пояснення та обґрунтування до запланованого рівня доходів/витрат</t>
  </si>
  <si>
    <t>Інші відрахування з доходу</t>
  </si>
  <si>
    <t>Інші операційні доходи</t>
  </si>
  <si>
    <t xml:space="preserve">Дохід від участі в капіталі </t>
  </si>
  <si>
    <t xml:space="preserve">Інші фінансові доходи </t>
  </si>
  <si>
    <t>Інші доходи</t>
  </si>
  <si>
    <t xml:space="preserve">Собівартість реалізованої продукції (товарів, робіт та послуг) </t>
  </si>
  <si>
    <t>витрати на службові відрядження</t>
  </si>
  <si>
    <t>012/5/1</t>
  </si>
  <si>
    <t>витрати на зв’язок</t>
  </si>
  <si>
    <t>012/5/2</t>
  </si>
  <si>
    <t>витрати на оплату праці</t>
  </si>
  <si>
    <t>012/5/3</t>
  </si>
  <si>
    <t>відрахування на соціальні заходи</t>
  </si>
  <si>
    <t>012/5/4</t>
  </si>
  <si>
    <t>амортизація основних засобів і нематеріальних активів загальногосподарського призначення</t>
  </si>
  <si>
    <t>012/5/5</t>
  </si>
  <si>
    <t>витрати на операційну оренду основних засобів та роялті, що мають загальногосподарське призначення</t>
  </si>
  <si>
    <t>012/5/6</t>
  </si>
  <si>
    <t>витрати на страхування майна загальногосподарського призначення</t>
  </si>
  <si>
    <t>012/5/7</t>
  </si>
  <si>
    <t>витрати на страхування загальногосподарського персоналу</t>
  </si>
  <si>
    <t>012/5/8</t>
  </si>
  <si>
    <t xml:space="preserve">організаційно-технічні послуги </t>
  </si>
  <si>
    <t>012/5/9</t>
  </si>
  <si>
    <t>консультаційні та інформаційні послуги</t>
  </si>
  <si>
    <t>012/5/10</t>
  </si>
  <si>
    <t>юридичні послуги</t>
  </si>
  <si>
    <t>012/5/11</t>
  </si>
  <si>
    <t>послуги з оцінки майна</t>
  </si>
  <si>
    <t>012/5/12</t>
  </si>
  <si>
    <t>витрати на охорону праці загальногосподарського персоналу</t>
  </si>
  <si>
    <t>012/5/13</t>
  </si>
  <si>
    <t xml:space="preserve">витрати на підвищення кваліфікації та перепідготовку кадрів </t>
  </si>
  <si>
    <t>012/5/14</t>
  </si>
  <si>
    <t>витрати на утримання основних фондів, інших необоротних активів загальногосподарського використання, у тому числі:</t>
  </si>
  <si>
    <t>012/5/15</t>
  </si>
  <si>
    <t>витрати на поліпшення основних фондів</t>
  </si>
  <si>
    <t>012/5/16</t>
  </si>
  <si>
    <t xml:space="preserve">інші адміністративні витрати </t>
  </si>
  <si>
    <t>012/5/17</t>
  </si>
  <si>
    <t>відрахування до резерву сумнівних боргів</t>
  </si>
  <si>
    <t>014/1</t>
  </si>
  <si>
    <t>014/2</t>
  </si>
  <si>
    <t>Фінансові витрати</t>
  </si>
  <si>
    <t>Витрати від участі в капіталі</t>
  </si>
  <si>
    <t>Інші витрати</t>
  </si>
  <si>
    <t>Інші фонди</t>
  </si>
  <si>
    <t>Інші  податки</t>
  </si>
  <si>
    <t>Інші платежі</t>
  </si>
  <si>
    <t>Інші цілі розподілу чистого прибутку</t>
  </si>
  <si>
    <t>№ з/п</t>
  </si>
  <si>
    <t>Марка</t>
  </si>
  <si>
    <t>Рік придбання</t>
  </si>
  <si>
    <t>Ціль використання</t>
  </si>
  <si>
    <t>7. Інформація про проекти, під які планується залучити кредитні кошти</t>
  </si>
  <si>
    <t>9. Інша додаткова інформація по підприємству</t>
  </si>
  <si>
    <t xml:space="preserve">       пункт 3 таблиці 5 заповнюється шляхом додавання рядків із зазначенням кожного виду діяльності підприємства;</t>
  </si>
  <si>
    <t xml:space="preserve">       пункт 4  таблиці 5 заповнюється шляхом додавання рядків із зазначенням назви конкретного кредитора підприємства;</t>
  </si>
  <si>
    <t xml:space="preserve">       пункт 6 таблиці 5 заповнюється шляхом додавання рядків із зазначенням назви кожного виду транспорту;</t>
  </si>
  <si>
    <t xml:space="preserve">       пункт 7 таблиці 5 має містити повну інформацію щодо кожного проекту, під які планується залучати кошти, з обґрунтуванням суми позики, терміну окупності;</t>
  </si>
  <si>
    <t xml:space="preserve">       пункт 8 таблиці 5 заповнюється шляхом додавання рядків із зазначенням назви кожного об’єкта.</t>
  </si>
  <si>
    <t>Сума, валюта за договором (у тис. грн.)</t>
  </si>
  <si>
    <t>Процентна ставка</t>
  </si>
  <si>
    <t>Дата видачі/погашення (графік)</t>
  </si>
  <si>
    <t>Адміністративні витрати, усього, у тому числі:</t>
  </si>
  <si>
    <t>Інші операційні витрати, усього, у тому числі:</t>
  </si>
  <si>
    <t xml:space="preserve">Надходження грошових коштів від основної діяльності </t>
  </si>
  <si>
    <t xml:space="preserve">Надходження грошових коштів від інвестиційної діяльності </t>
  </si>
  <si>
    <t xml:space="preserve">Надходження від продажу акцій та облігацій </t>
  </si>
  <si>
    <t xml:space="preserve">Надходження грошових коштів від фінансової діяльності </t>
  </si>
  <si>
    <t>Видатки грошових коштів основної діяльності</t>
  </si>
  <si>
    <t xml:space="preserve">Видатки грошових коштів інвестиційної діяльності </t>
  </si>
  <si>
    <t xml:space="preserve">Придбання акцій та облігацій  </t>
  </si>
  <si>
    <t xml:space="preserve">Видатки грошових коштів фінансової діяльності </t>
  </si>
  <si>
    <t xml:space="preserve">Повернення довгострокових кредитів </t>
  </si>
  <si>
    <t>на кінець періоду</t>
  </si>
  <si>
    <r>
      <t xml:space="preserve">Орган державного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</si>
  <si>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r>
      <t xml:space="preserve"> Види діяльності </t>
    </r>
    <r>
      <rPr>
        <b/>
        <i/>
        <sz val="10"/>
        <rFont val="Times New Roman"/>
        <family val="1"/>
        <charset val="204"/>
      </rPr>
      <t>(указати всі види діяльності)</t>
    </r>
  </si>
  <si>
    <r>
      <t>Назва об</t>
    </r>
    <r>
      <rPr>
        <b/>
        <sz val="10"/>
        <color indexed="8"/>
        <rFont val="Times New Roman"/>
        <family val="1"/>
        <charset val="204"/>
      </rPr>
      <t>’</t>
    </r>
    <r>
      <rPr>
        <b/>
        <sz val="10"/>
        <rFont val="Times New Roman"/>
        <family val="1"/>
        <charset val="204"/>
      </rPr>
      <t>єкта</t>
    </r>
  </si>
  <si>
    <r>
      <t xml:space="preserve">     </t>
    </r>
    <r>
      <rPr>
        <b/>
        <sz val="10"/>
        <rFont val="Times New Roman"/>
        <family val="1"/>
        <charset val="204"/>
      </rPr>
      <t>Примітки:</t>
    </r>
  </si>
  <si>
    <r>
      <t xml:space="preserve">       </t>
    </r>
    <r>
      <rPr>
        <sz val="10"/>
        <rFont val="Times New Roman"/>
        <family val="1"/>
        <charset val="204"/>
      </rPr>
      <t>пункт 2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таблиці 5 заповнюється шляхом додавання рядків із зазначенням назви конкретного підприємства;</t>
    </r>
  </si>
  <si>
    <t>Керівник підприємства                                               __________________                                                  ____________________</t>
  </si>
  <si>
    <t xml:space="preserve">(посада)                                                                                     (підпис)                                                                              (ПІБ)  </t>
  </si>
  <si>
    <t>Витрати на збут, усього,
у тому числі:</t>
  </si>
  <si>
    <t>Виручка від реалізації товарів, робіт, послуг</t>
  </si>
  <si>
    <t>Оптимальне значення</t>
  </si>
  <si>
    <t>Характеризує ефективність використання активів підприємства</t>
  </si>
  <si>
    <t>Характеризує інвестиційну політику підприємства</t>
  </si>
  <si>
    <t>Характеризує частину поточних зобов'язань, яка може бути сплачена негайно</t>
  </si>
  <si>
    <t>Коефицієнт абсолютної ліквідності (грошові кошти / поточні зобов'язання)                                  (ф.1 р.230 + р.240) / ф.1 р.620</t>
  </si>
  <si>
    <t>Характеризує співвідношення власних та позикових коштів і залежність підприємства від зовнішніх фінансових джерел</t>
  </si>
  <si>
    <t>&gt; 0,5</t>
  </si>
  <si>
    <t>&gt; 1</t>
  </si>
  <si>
    <t>&gt; 0</t>
  </si>
  <si>
    <t>Характеризує можливість підприємства виконати зовнішні зобов'язання за рахунок власних активів, його незалежність від позикових джерел</t>
  </si>
  <si>
    <t>Характеризує ефективність господарської діяльності підприємства</t>
  </si>
  <si>
    <t>Показує відносний приріст (зменшення) зобов'язань підприємства, його залежність від позикових коштів</t>
  </si>
  <si>
    <t xml:space="preserve"> 0,2-0,35            та більше</t>
  </si>
  <si>
    <t>Приріст активів пдприємства, усього</t>
  </si>
  <si>
    <t>у тому числі:</t>
  </si>
  <si>
    <t>Модернізація, модифікація (добудова, дообладнання, реконструкція) основних засобів</t>
  </si>
  <si>
    <t>Придбання (створення) оборотних активів</t>
  </si>
  <si>
    <t>Капітальний ремонт</t>
  </si>
  <si>
    <t>Інші фінансові зобов'язання</t>
  </si>
  <si>
    <t>Усього:</t>
  </si>
  <si>
    <t>План по залученню коштів</t>
  </si>
  <si>
    <t>План по поверненню залучених коштів</t>
  </si>
  <si>
    <t>Довгострокові кредити</t>
  </si>
  <si>
    <t>Короткострокові кредити</t>
  </si>
  <si>
    <t>Витрати      (тис. грн.), усього</t>
  </si>
  <si>
    <t>у тому числі за їх видами:</t>
  </si>
  <si>
    <t>Матеріальні витрати</t>
  </si>
  <si>
    <t>Оплата праці</t>
  </si>
  <si>
    <t>Амор-тизація</t>
  </si>
  <si>
    <t>1.</t>
  </si>
  <si>
    <t>2.</t>
  </si>
  <si>
    <t>3.</t>
  </si>
  <si>
    <t xml:space="preserve">        Додаткова інформація має включати результати аналізу фінансово-господарської  діяльності підприємства за попередній рік, показники  господарської діяльності та розвитку підприємства в поточному році та на плановий рік, цінову політику підприємства</t>
  </si>
  <si>
    <r>
      <t xml:space="preserve">       рядки пункту 5 таблиці 5 -  004, 006, 007, 008, 009, 011, 012/5/17, 013/2, 014/2, 015, 016, 017, 031, 033/7, 036/2 та рядок </t>
    </r>
    <r>
      <rPr>
        <b/>
        <sz val="10"/>
        <rFont val="Times New Roman"/>
        <family val="1"/>
        <charset val="204"/>
      </rPr>
      <t>“</t>
    </r>
    <r>
      <rPr>
        <sz val="10"/>
        <rFont val="Times New Roman"/>
        <family val="1"/>
        <charset val="204"/>
      </rPr>
      <t>Інші цілі розподілу чистого прибутку” заповнюються шляхом додавання рядків, до яких мають бути включені всі витрати або дох</t>
    </r>
  </si>
  <si>
    <t>Зобов'язання</t>
  </si>
  <si>
    <t xml:space="preserve">Коефіцієнт рентабельності активів (чистий прибуток / вартість активів)                              ф.2 р. 220 / ф.1 р.280 </t>
  </si>
  <si>
    <t>Збільшення</t>
  </si>
  <si>
    <t>Коефіцієнт рентабельності діяльності (чистий прибуток / чистий дохід)                             ф.2 р. 220 / ф.2 р. 035</t>
  </si>
  <si>
    <t>Коефіцієнт поточної ліквідності (покриття) (оборотні активи /         поточні зобов'язання)                                            ф.1 р. 260 / ф.1 р.620</t>
  </si>
  <si>
    <t>Показує достатність ресурсів підприємства, які можуть бути використані для погашення його поточних зобов’язань.  Нормативне значенням для цього показника є &gt; 1-1,5</t>
  </si>
  <si>
    <t>Фінансова стійкість (власний капітал / (довгострокові зобов'язання + поточні зобов'язання)                           (ф.1 р. 380 + р. 430) /                  (ф.1 р. 480 + р. 620)</t>
  </si>
  <si>
    <t>Коефіцієнт фінансової незалежності (автономії) (власний капітал / пасиви)        (ф.1 р.380 + р.430) / ф.1 р.640</t>
  </si>
  <si>
    <t>Коефіцієнт заборгованості (залучений капітал /           власний капітал)                                 (ф.1 р. 480 + р. 620) /                        (ф.1 р. 380 + р. 430)</t>
  </si>
  <si>
    <t>0,5-0,7</t>
  </si>
  <si>
    <t>Показує фінансову незалежность підприємства від залучення (запозичення) коштів. Зменшення цього показника свідчить про зміцнення фінансового стану підприємства та зменшення його залежності від залучених коштів</t>
  </si>
  <si>
    <t>Зменшення/приріст зобов'язань (зобов'язання на дату розрахунку / зобов'язання на відповідну дату попереднього року), %                                ф.1 р. 480 + р. 620</t>
  </si>
  <si>
    <r>
      <t xml:space="preserve">&lt; </t>
    </r>
    <r>
      <rPr>
        <sz val="10"/>
        <rFont val="Times New Roman"/>
        <family val="1"/>
        <charset val="204"/>
      </rPr>
      <t>100 %</t>
    </r>
  </si>
  <si>
    <t>Коефіцієнт зносу основних засобів (сума зносу / первісну вартість основних засобів)                                         (ф.1 р. 032 / ф.1 р. 031)</t>
  </si>
  <si>
    <t>Зменшення</t>
  </si>
  <si>
    <t xml:space="preserve">       Керівник підприємства                                                       __________________                                                              ____________________</t>
  </si>
  <si>
    <t xml:space="preserve">                (посада)                                                                                  (підпис)                                                                                        (ПІБ)  </t>
  </si>
  <si>
    <t>Факт       минулого року</t>
  </si>
  <si>
    <t>Залучення кредитних коштів</t>
  </si>
  <si>
    <t>Інші джерела (розшифрувати)</t>
  </si>
  <si>
    <t>Усього</t>
  </si>
  <si>
    <t>Відсоток</t>
  </si>
  <si>
    <t>8. Джерела інвестицій</t>
  </si>
  <si>
    <t>6. Витрати на утримання транспорту  (у складі адміністративних витрат)</t>
  </si>
  <si>
    <t xml:space="preserve">                         (посада)                                                                                          (підпис)                                                                        (ПІБ)  </t>
  </si>
  <si>
    <t xml:space="preserve">загальна кількість зайнятих на підприємстві з відокремленням чисельності апарату підприємства та розмежуванням категорій працівників (порівняно з фактичними даними року, що минув, запланованого рівня поточного року та даними планового року).                                     У разі збільшення фонду оплати праці в плановому році порівняно з установленим рівнем попереднього року надати обґрунтування. </t>
  </si>
  <si>
    <t>4.1. Інформація щодо отримання та повернення залучених коштів                                                                                     (тис. гривень)</t>
  </si>
  <si>
    <t>в т.ч.за рахунок бюджетних коштів</t>
  </si>
  <si>
    <t>Інші вирахування з доходу</t>
  </si>
  <si>
    <t>Чистий дохід (виручка) від реалізації продукції (товарів, робіт, послуг)</t>
  </si>
  <si>
    <t xml:space="preserve">Інші доходи </t>
  </si>
  <si>
    <t>у тому числі операційні витрати за економічними елементами:</t>
  </si>
  <si>
    <t>амортизація</t>
  </si>
  <si>
    <t>інші операційні витрати</t>
  </si>
  <si>
    <t>Валовий</t>
  </si>
  <si>
    <t>прибуток</t>
  </si>
  <si>
    <t>дохід від операційної оренди активів</t>
  </si>
  <si>
    <t>одержані гранти та субсидії</t>
  </si>
  <si>
    <t>дохід від реалізації необоротних активів, утримуваних для продажу</t>
  </si>
  <si>
    <t>040</t>
  </si>
  <si>
    <t>050</t>
  </si>
  <si>
    <t>060</t>
  </si>
  <si>
    <t>061</t>
  </si>
  <si>
    <t>062</t>
  </si>
  <si>
    <t>063</t>
  </si>
  <si>
    <t>064</t>
  </si>
  <si>
    <t>065</t>
  </si>
  <si>
    <t>071</t>
  </si>
  <si>
    <t>072</t>
  </si>
  <si>
    <t>080</t>
  </si>
  <si>
    <t>081</t>
  </si>
  <si>
    <t>082</t>
  </si>
  <si>
    <t>083</t>
  </si>
  <si>
    <t>090</t>
  </si>
  <si>
    <t>091</t>
  </si>
  <si>
    <t>092</t>
  </si>
  <si>
    <t>093</t>
  </si>
  <si>
    <t>094</t>
  </si>
  <si>
    <t>095</t>
  </si>
  <si>
    <t>100</t>
  </si>
  <si>
    <t>101</t>
  </si>
  <si>
    <t>102</t>
  </si>
  <si>
    <t>103</t>
  </si>
  <si>
    <t>104</t>
  </si>
  <si>
    <t>105</t>
  </si>
  <si>
    <t>матеріальні витрати</t>
  </si>
  <si>
    <r>
      <rPr>
        <b/>
        <sz val="12"/>
        <rFont val="Times New Roman Cyr"/>
        <charset val="204"/>
      </rPr>
      <t xml:space="preserve">Дохід </t>
    </r>
    <r>
      <rPr>
        <sz val="12"/>
        <rFont val="Times New Roman Cyr"/>
        <family val="1"/>
        <charset val="204"/>
      </rPr>
      <t>(виручка) від реалізації продукції (товарів, робіт, послуг)</t>
    </r>
  </si>
  <si>
    <t>І. Фінансові результати</t>
  </si>
  <si>
    <r>
      <rPr>
        <b/>
        <sz val="12"/>
        <rFont val="Times New Roman Cyr"/>
        <charset val="204"/>
      </rPr>
      <t>Адміністративні витрати</t>
    </r>
    <r>
      <rPr>
        <sz val="12"/>
        <rFont val="Times New Roman Cyr"/>
        <family val="1"/>
        <charset val="204"/>
      </rPr>
      <t xml:space="preserve"> (сума рядків з 091 по 095), у т.ч.</t>
    </r>
  </si>
  <si>
    <r>
      <rPr>
        <b/>
        <sz val="12"/>
        <rFont val="Times New Roman Cyr"/>
        <charset val="204"/>
      </rPr>
      <t>Інші операційні доходи</t>
    </r>
    <r>
      <rPr>
        <sz val="12"/>
        <rFont val="Times New Roman Cyr"/>
        <family val="1"/>
        <charset val="204"/>
      </rPr>
      <t>, у т.ч.</t>
    </r>
  </si>
  <si>
    <r>
      <rPr>
        <b/>
        <sz val="12"/>
        <rFont val="Times New Roman Cyr"/>
        <charset val="204"/>
      </rPr>
      <t xml:space="preserve">Витрати на збут </t>
    </r>
    <r>
      <rPr>
        <sz val="12"/>
        <rFont val="Times New Roman Cyr"/>
        <family val="1"/>
        <charset val="204"/>
      </rPr>
      <t>(сума рядків з 101 по 105), у т.ч.:</t>
    </r>
  </si>
  <si>
    <r>
      <rPr>
        <b/>
        <sz val="12"/>
        <rFont val="Times New Roman Cyr"/>
        <charset val="204"/>
      </rPr>
      <t xml:space="preserve">Інші операційні витрати </t>
    </r>
    <r>
      <rPr>
        <sz val="12"/>
        <rFont val="Times New Roman Cyr"/>
        <family val="1"/>
        <charset val="204"/>
      </rPr>
      <t>(сума рядків з 111 по 115), у т.ч.:</t>
    </r>
  </si>
  <si>
    <t>110</t>
  </si>
  <si>
    <t>111</t>
  </si>
  <si>
    <t>112</t>
  </si>
  <si>
    <t>113</t>
  </si>
  <si>
    <t>114</t>
  </si>
  <si>
    <t>115</t>
  </si>
  <si>
    <t>Фінансові результати від операційної діяльності:</t>
  </si>
  <si>
    <t>дохід від реалізації фінансових інвестицій</t>
  </si>
  <si>
    <t>дохід від безоплатно одержаних активів</t>
  </si>
  <si>
    <t>152</t>
  </si>
  <si>
    <t>154</t>
  </si>
  <si>
    <t>121</t>
  </si>
  <si>
    <t>122</t>
  </si>
  <si>
    <t>130</t>
  </si>
  <si>
    <t>140</t>
  </si>
  <si>
    <t>150</t>
  </si>
  <si>
    <t>160</t>
  </si>
  <si>
    <t>Фінансові результати від звичайної діяльності до оподаткування:</t>
  </si>
  <si>
    <t>Податок на прибуток</t>
  </si>
  <si>
    <t>Чистий</t>
  </si>
  <si>
    <t>Відрахування частини прибутку</t>
  </si>
  <si>
    <t>170</t>
  </si>
  <si>
    <t>180</t>
  </si>
  <si>
    <t>191</t>
  </si>
  <si>
    <t>192</t>
  </si>
  <si>
    <t>200</t>
  </si>
  <si>
    <t>211</t>
  </si>
  <si>
    <t>212</t>
  </si>
  <si>
    <t>220</t>
  </si>
  <si>
    <t>ІІ. Елементи операційних витрат (разом)</t>
  </si>
  <si>
    <t>Разом (сума рядків з 310 по 350)</t>
  </si>
  <si>
    <t>ІІІ. Капітальні інвестиції протягом року</t>
  </si>
  <si>
    <t>Капітальне будівництво</t>
  </si>
  <si>
    <t>Придбання (виготовлення) основних засобів та інших необоротних матеріальних активів</t>
  </si>
  <si>
    <t>Придбання  (створення) нематеріальних активів</t>
  </si>
  <si>
    <t>Погашення отриманих на капітальні інвестиції позик</t>
  </si>
  <si>
    <t>Модернізація, модифікація, дообладнання, реконструкція, інші види поліпшення необоротних активів</t>
  </si>
  <si>
    <t>Разом (сума рядків 410,420,430,440,450):</t>
  </si>
  <si>
    <t>в т.ч.за рахунок бюджетних коштів (сума рядків 411,421,431,441,451)</t>
  </si>
  <si>
    <t>310</t>
  </si>
  <si>
    <t>320</t>
  </si>
  <si>
    <t>330</t>
  </si>
  <si>
    <t>340</t>
  </si>
  <si>
    <t>350</t>
  </si>
  <si>
    <t>360</t>
  </si>
  <si>
    <t>410</t>
  </si>
  <si>
    <t>411</t>
  </si>
  <si>
    <t>420</t>
  </si>
  <si>
    <t>421</t>
  </si>
  <si>
    <t>430</t>
  </si>
  <si>
    <t>431</t>
  </si>
  <si>
    <t>440</t>
  </si>
  <si>
    <t>441</t>
  </si>
  <si>
    <t>450</t>
  </si>
  <si>
    <t>451</t>
  </si>
  <si>
    <t>490</t>
  </si>
  <si>
    <t>491</t>
  </si>
  <si>
    <t>IV. Додаткова інформація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</si>
  <si>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</si>
  <si>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</si>
  <si>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</si>
  <si>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Проект</t>
  </si>
  <si>
    <t>Попередній</t>
  </si>
  <si>
    <t>Уточнений</t>
  </si>
  <si>
    <t>Зміни</t>
  </si>
  <si>
    <t>зробити позначку  "Х"</t>
  </si>
  <si>
    <t>"ЗАТВЕРДЖЕНО"</t>
  </si>
  <si>
    <t>Керівник</t>
  </si>
  <si>
    <t>510</t>
  </si>
  <si>
    <t>520</t>
  </si>
  <si>
    <t>530</t>
  </si>
  <si>
    <t>540</t>
  </si>
  <si>
    <t>Головний бухгалтер</t>
  </si>
  <si>
    <t>(підпис)</t>
  </si>
  <si>
    <t>(ПІБ)</t>
  </si>
  <si>
    <r>
      <rPr>
        <b/>
        <sz val="12"/>
        <rFont val="Times New Roman Cyr"/>
        <charset val="204"/>
      </rPr>
      <t>Собівартість</t>
    </r>
    <r>
      <rPr>
        <sz val="12"/>
        <rFont val="Times New Roman Cyr"/>
        <family val="1"/>
        <charset val="204"/>
      </rPr>
      <t xml:space="preserve"> реалізованої продукції (товарів, робіт та послуг)</t>
    </r>
    <r>
      <rPr>
        <i/>
        <sz val="12"/>
        <rFont val="Times New Roman Cyr"/>
        <family val="1"/>
        <charset val="204"/>
      </rPr>
      <t xml:space="preserve"> (сума рядків з 061 по 065)</t>
    </r>
  </si>
  <si>
    <t>таблиця 5.1.</t>
  </si>
  <si>
    <t>Таблиця 6</t>
  </si>
  <si>
    <t>Капітальні видатки</t>
  </si>
  <si>
    <t>Джерела фінансування минулого року</t>
  </si>
  <si>
    <t>Джерела фінансування (план)</t>
  </si>
  <si>
    <t>Капітальне будівництво, реконструкція:</t>
  </si>
  <si>
    <t>в тому чисоі в розрізі об'єктів:</t>
  </si>
  <si>
    <t>002/1</t>
  </si>
  <si>
    <t>Придбання основних засобів і предметів довгострокового використання (КЕКВ 3110)</t>
  </si>
  <si>
    <t>в тому чисоі в розрізі найменувань :</t>
  </si>
  <si>
    <t>003/1</t>
  </si>
  <si>
    <t>Таблиця 7</t>
  </si>
  <si>
    <t>Джерела та напрямки використання коштів по підприємству</t>
  </si>
  <si>
    <t>Назва витрат ( в розрізі кодів економічної класифікації видатків)</t>
  </si>
  <si>
    <t>Джерело доходів, тис.грн.</t>
  </si>
  <si>
    <t>Всього</t>
  </si>
  <si>
    <t>міський бюджет Овруцької міської ОТГ</t>
  </si>
  <si>
    <t>Медична субвенція</t>
  </si>
  <si>
    <t>Національна служба здоров'я України</t>
  </si>
  <si>
    <t>Обласний бюджет</t>
  </si>
  <si>
    <t>Районний бюджет</t>
  </si>
  <si>
    <t>Сільський бюджет</t>
  </si>
  <si>
    <t>Надходження від плати за послуги</t>
  </si>
  <si>
    <t xml:space="preserve">Інші джерела власних надходжень </t>
  </si>
  <si>
    <t>ВСЬОГО</t>
  </si>
  <si>
    <t>В тому числі:</t>
  </si>
  <si>
    <t>поточні видатки</t>
  </si>
  <si>
    <t>капітальні видатки</t>
  </si>
  <si>
    <t>КП "Водоканал" Овруцької міської ради Житомирської області</t>
  </si>
  <si>
    <t>01009</t>
  </si>
  <si>
    <t>36.00</t>
  </si>
  <si>
    <t>СПОДУ втрат.чинність по-новому -КОДУ</t>
  </si>
  <si>
    <t>Житомирська область</t>
  </si>
  <si>
    <t>Забір, очищення та постачання води</t>
  </si>
  <si>
    <t>0414842018</t>
  </si>
  <si>
    <t>Латаш О.А.</t>
  </si>
  <si>
    <t>комунальне підприємство</t>
  </si>
  <si>
    <t>ФІНАНСОВИЙ ПЛАН ПІДПРИЄМСТВА НА 2022 рік</t>
  </si>
  <si>
    <t>Латаш О. А.</t>
  </si>
  <si>
    <t>Полова М. Г.</t>
  </si>
  <si>
    <t>Житомирська область, Коростенський район, м. Овруч, вул. І. Франка, 5-а</t>
  </si>
  <si>
    <t xml:space="preserve">Керівник підприємства                                                       __________________                                                            </t>
  </si>
  <si>
    <t>без ПДВ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</si>
  <si>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 Cyr"/>
        <charset val="204"/>
      </rPr>
      <t xml:space="preserve"> без ПДВ</t>
    </r>
  </si>
  <si>
    <t>О. А.Латаш</t>
  </si>
  <si>
    <t>О. А. Латаш</t>
  </si>
  <si>
    <t xml:space="preserve">(посада)                                                                                     (підпис)                                             (ПІБ)  </t>
  </si>
  <si>
    <t>плата за абон.обслугов.</t>
  </si>
  <si>
    <t>надання інших послуг (опломб, вид.тех.умов, транспорт.послуги)</t>
  </si>
  <si>
    <t>інші операц.доходи, ін.доходи</t>
  </si>
  <si>
    <t>Чисельність працівників на кінець 2020 року - 75 осіб, фонд оплати праці за 2020 рік - 6507,3 тис. грн.</t>
  </si>
  <si>
    <t>централізоване водопостачання</t>
  </si>
  <si>
    <t>інші послуги</t>
  </si>
  <si>
    <t>ГАЗ-3110 АМ 3517 ВС</t>
  </si>
  <si>
    <t>вирішення виробничих завдань, що стосуються господарської діяльності підприємства</t>
  </si>
  <si>
    <t>2001 року випуску</t>
  </si>
  <si>
    <t>централізоване водовідведення</t>
  </si>
  <si>
    <t>страхування авто</t>
  </si>
  <si>
    <t>послуги банків, укрпошти</t>
  </si>
  <si>
    <t>послуги Паритет, отрим.ключів</t>
  </si>
  <si>
    <t>запчастини</t>
  </si>
  <si>
    <t>резерв відпусток, електроенергія, канцтовари, сировина, матеріали, паливо, ком.послуги, період.видання</t>
  </si>
  <si>
    <t>резерв відпусток</t>
  </si>
  <si>
    <t>матеріали, канцтовари</t>
  </si>
  <si>
    <t>програма обслуг.абон.рахунків</t>
  </si>
  <si>
    <t>тех.обсл.РРО</t>
  </si>
  <si>
    <t>обсл.ліц.програми</t>
  </si>
  <si>
    <r>
      <t xml:space="preserve">інші операційні витрати </t>
    </r>
    <r>
      <rPr>
        <i/>
        <sz val="10"/>
        <rFont val="Times New Roman"/>
        <family val="1"/>
        <charset val="204"/>
      </rPr>
      <t>(розшифрування):</t>
    </r>
    <r>
      <rPr>
        <vertAlign val="superscript"/>
        <sz val="10"/>
        <rFont val="Times New Roman"/>
        <family val="1"/>
        <charset val="204"/>
      </rPr>
      <t xml:space="preserve">            </t>
    </r>
  </si>
  <si>
    <t>Директор КП "Водоканал"                                                                                           О. А. Латаш</t>
  </si>
  <si>
    <t>міський бюджет</t>
  </si>
  <si>
    <t>Бензиновий генератор, швонарізник та відбійний молоток</t>
  </si>
  <si>
    <t xml:space="preserve">(посада)                                                                                           (підпис)                                                    (ПІБ)  </t>
  </si>
  <si>
    <r>
      <t xml:space="preserve">        </t>
    </r>
    <r>
      <rPr>
        <u/>
        <sz val="12"/>
        <rFont val="Times New Roman Cyr"/>
        <charset val="204"/>
      </rPr>
      <t>О. А. Латаш</t>
    </r>
  </si>
  <si>
    <t>насоси на ВНС та КНС</t>
  </si>
  <si>
    <t>прилад для виявлення місць витоку води</t>
  </si>
  <si>
    <t>На кінець звітного періоду 2020 року кількість штатних працівників – 73 особи, в тому числі: Водопостачання – 31 особа (водії – 4, зовнішні мережі водопостачання – 15, ВНС № 1 – 7, ВНС №  2 – 5); Водовідведення - 15 осіб; Рембригада – 4 особи; загальновиробничий персонал – 6 осіб (2 диспетчера - сторожа, 1 прибиральниця, 1 водій, зав.господарством, інженер з охорони праці); Збут – 8 осіб (2 бухгалтера і 6 контролерів); Адмінапарат – 9 осіб. На кінець звітного періоду на 30.09.2021 року кількість штатних працівників –  65 осіб, в тому числі: Водопостачання – 26 осіб (водії – 3, зовнішні мережі водопостачання – 10, ВНС № 1 – 8, ВНС №  2 – 5); Водовідведення - 15 осіб; Рембригада – 2 особи; загальновиробничий персонал – 6 осіб (2 диспетчера - сторожа, 1 прибиральниця, 1 водій, зав.господарством, інженер з охорони праці); Збут – 7 осіб (2 бухгалтера і 5 контролерів); Адмінапарат – 9 осіб. Збільшення фонду оплати праці та відповідно відрахувань на соціальні заходи пояснюється збільшенням розміру прожиткового мінімуму для працездатних осіб, розміру мінімальної заробітної плати, в залежності від яких проводиться розрахунок тарифних ставок та посадових окладів працівників підприємства</t>
  </si>
  <si>
    <t>з ПДВ</t>
  </si>
  <si>
    <t>ЄСВ</t>
  </si>
  <si>
    <t>ПДФО</t>
  </si>
  <si>
    <t>військовий збір</t>
  </si>
  <si>
    <t>ПДВ</t>
  </si>
  <si>
    <t>Надра, спецводокористування</t>
  </si>
  <si>
    <t>Екологічний податок</t>
  </si>
  <si>
    <t>Розрахунк.-касове обслуг.(посл.банків)</t>
  </si>
  <si>
    <t>Інші надходження (розшифрувати) % на зал.на рах.</t>
  </si>
  <si>
    <t>Директор КП "Водоканал"                                               __________________________                                                          О. А. Латаш</t>
  </si>
  <si>
    <t>в тому числі в розрізі об'єктів:</t>
  </si>
  <si>
    <t>Секретар ради</t>
  </si>
  <si>
    <t>Віктор КИСІЛЬ</t>
  </si>
  <si>
    <t>Додаток 1 до рішення міської</t>
  </si>
  <si>
    <t>ради від 23.11.2021 р.  № 1140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</si>
</sst>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9"/>
      <name val="Arial Cyr"/>
      <charset val="204"/>
    </font>
    <font>
      <b/>
      <i/>
      <sz val="12"/>
      <name val="Times New Roman"/>
      <family val="1"/>
      <charset val="204"/>
    </font>
    <font>
      <sz val="12"/>
      <color indexed="11"/>
      <name val="Arial"/>
      <family val="2"/>
      <charset val="204"/>
    </font>
    <font>
      <sz val="11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i/>
      <u/>
      <sz val="12"/>
      <name val="Times New Roman Cyr"/>
      <family val="1"/>
      <charset val="204"/>
    </font>
    <font>
      <sz val="9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8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b/>
      <i/>
      <sz val="8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"/>
      <family val="2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vertAlign val="superscript"/>
      <sz val="1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1"/>
      <name val="Times New Roman Cyr"/>
      <charset val="204"/>
    </font>
    <font>
      <sz val="6"/>
      <name val="Times New Roman Cyr"/>
      <family val="1"/>
      <charset val="204"/>
    </font>
    <font>
      <sz val="12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4"/>
      <name val="Times New Roman Cyr"/>
      <charset val="204"/>
    </font>
    <font>
      <b/>
      <u/>
      <sz val="12"/>
      <name val="Times New Roman Cyr"/>
      <charset val="204"/>
    </font>
    <font>
      <sz val="10"/>
      <name val="Times New Roman Cyr"/>
      <charset val="204"/>
    </font>
    <font>
      <b/>
      <u/>
      <sz val="10"/>
      <name val="Times New Roman"/>
      <family val="1"/>
      <charset val="204"/>
    </font>
    <font>
      <u/>
      <sz val="12"/>
      <name val="Times New Roman Cyr"/>
      <charset val="204"/>
    </font>
    <font>
      <sz val="12"/>
      <color theme="1"/>
      <name val="Bookman Old Style"/>
      <family val="1"/>
      <charset val="204"/>
    </font>
    <font>
      <sz val="12"/>
      <color rgb="FFFF000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color theme="1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fgColor indexed="22"/>
        <bgColor indexed="22"/>
      </patternFill>
    </fill>
    <fill>
      <patternFill patternType="lightGray">
        <fgColor indexed="9"/>
        <bgColor indexed="22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8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Fill="1" applyBorder="1"/>
    <xf numFmtId="3" fontId="2" fillId="0" borderId="0" xfId="0" applyNumberFormat="1" applyFont="1" applyBorder="1"/>
    <xf numFmtId="0" fontId="3" fillId="0" borderId="0" xfId="0" applyFont="1" applyFill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wrapText="1" shrinkToFit="1"/>
    </xf>
    <xf numFmtId="0" fontId="4" fillId="0" borderId="0" xfId="0" applyFont="1" applyBorder="1"/>
    <xf numFmtId="0" fontId="4" fillId="0" borderId="0" xfId="0" applyFont="1" applyFill="1" applyBorder="1"/>
    <xf numFmtId="0" fontId="13" fillId="0" borderId="0" xfId="0" applyFont="1" applyFill="1"/>
    <xf numFmtId="0" fontId="7" fillId="0" borderId="0" xfId="0" applyFont="1" applyFill="1" applyAlignment="1">
      <alignment horizontal="center"/>
    </xf>
    <xf numFmtId="0" fontId="12" fillId="0" borderId="0" xfId="0" applyFont="1" applyFill="1"/>
    <xf numFmtId="0" fontId="8" fillId="0" borderId="0" xfId="0" applyFont="1" applyFill="1"/>
    <xf numFmtId="0" fontId="16" fillId="0" borderId="0" xfId="0" applyFont="1" applyFill="1"/>
    <xf numFmtId="0" fontId="15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5" fillId="0" borderId="0" xfId="0" applyFont="1" applyBorder="1"/>
    <xf numFmtId="0" fontId="18" fillId="0" borderId="0" xfId="0" applyFont="1" applyFill="1"/>
    <xf numFmtId="0" fontId="18" fillId="0" borderId="0" xfId="0" applyFont="1"/>
    <xf numFmtId="0" fontId="22" fillId="0" borderId="0" xfId="0" applyFont="1" applyBorder="1" applyAlignment="1">
      <alignment horizontal="center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vertical="center" wrapText="1"/>
    </xf>
    <xf numFmtId="0" fontId="22" fillId="0" borderId="1" xfId="0" quotePrefix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top"/>
    </xf>
    <xf numFmtId="0" fontId="1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6" fillId="0" borderId="0" xfId="0" applyFont="1" applyBorder="1"/>
    <xf numFmtId="0" fontId="26" fillId="0" borderId="0" xfId="0" applyFont="1"/>
    <xf numFmtId="0" fontId="26" fillId="0" borderId="2" xfId="0" applyFont="1" applyBorder="1"/>
    <xf numFmtId="0" fontId="19" fillId="0" borderId="0" xfId="0" applyFont="1" applyBorder="1" applyAlignment="1"/>
    <xf numFmtId="0" fontId="19" fillId="0" borderId="3" xfId="0" applyFont="1" applyBorder="1"/>
    <xf numFmtId="0" fontId="19" fillId="0" borderId="0" xfId="0" applyFont="1"/>
    <xf numFmtId="0" fontId="3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28" fillId="0" borderId="1" xfId="0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19" fillId="0" borderId="4" xfId="0" applyFont="1" applyBorder="1" applyAlignment="1"/>
    <xf numFmtId="0" fontId="33" fillId="0" borderId="3" xfId="0" applyFont="1" applyBorder="1" applyAlignment="1">
      <alignment wrapText="1"/>
    </xf>
    <xf numFmtId="0" fontId="19" fillId="0" borderId="5" xfId="0" applyFont="1" applyBorder="1" applyAlignment="1"/>
    <xf numFmtId="0" fontId="19" fillId="0" borderId="6" xfId="0" applyFont="1" applyBorder="1" applyAlignment="1">
      <alignment wrapText="1"/>
    </xf>
    <xf numFmtId="0" fontId="19" fillId="0" borderId="6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0" fontId="19" fillId="0" borderId="2" xfId="0" applyFont="1" applyBorder="1"/>
    <xf numFmtId="0" fontId="20" fillId="0" borderId="1" xfId="0" quotePrefix="1" applyFont="1" applyFill="1" applyBorder="1" applyAlignment="1">
      <alignment horizontal="center"/>
    </xf>
    <xf numFmtId="0" fontId="20" fillId="0" borderId="1" xfId="0" quotePrefix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wrapText="1"/>
    </xf>
    <xf numFmtId="0" fontId="22" fillId="0" borderId="8" xfId="0" applyFont="1" applyFill="1" applyBorder="1" applyAlignment="1">
      <alignment horizontal="left"/>
    </xf>
    <xf numFmtId="0" fontId="20" fillId="0" borderId="8" xfId="0" applyFont="1" applyFill="1" applyBorder="1" applyAlignment="1">
      <alignment wrapText="1"/>
    </xf>
    <xf numFmtId="0" fontId="28" fillId="0" borderId="0" xfId="0" applyFont="1" applyBorder="1" applyAlignment="1">
      <alignment horizontal="left" wrapText="1"/>
    </xf>
    <xf numFmtId="0" fontId="22" fillId="0" borderId="0" xfId="0" quotePrefix="1" applyFont="1" applyFill="1" applyBorder="1" applyAlignment="1">
      <alignment horizontal="center"/>
    </xf>
    <xf numFmtId="0" fontId="22" fillId="0" borderId="0" xfId="0" quotePrefix="1" applyFont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vertical="center"/>
    </xf>
    <xf numFmtId="3" fontId="33" fillId="0" borderId="0" xfId="0" applyNumberFormat="1" applyFont="1" applyFill="1" applyBorder="1" applyAlignment="1">
      <alignment vertical="center"/>
    </xf>
    <xf numFmtId="3" fontId="19" fillId="0" borderId="0" xfId="0" applyNumberFormat="1" applyFont="1" applyBorder="1"/>
    <xf numFmtId="0" fontId="20" fillId="0" borderId="0" xfId="0" applyFont="1" applyFill="1"/>
    <xf numFmtId="0" fontId="31" fillId="0" borderId="0" xfId="0" applyFont="1" applyFill="1"/>
    <xf numFmtId="0" fontId="24" fillId="0" borderId="0" xfId="0" applyFont="1" applyFill="1"/>
    <xf numFmtId="0" fontId="26" fillId="0" borderId="9" xfId="0" applyFont="1" applyFill="1" applyBorder="1" applyAlignment="1">
      <alignment horizontal="center" vertical="center" wrapText="1" shrinkToFit="1"/>
    </xf>
    <xf numFmtId="0" fontId="26" fillId="0" borderId="10" xfId="0" applyFont="1" applyFill="1" applyBorder="1" applyAlignment="1">
      <alignment horizontal="center" vertical="center" wrapText="1" shrinkToFit="1"/>
    </xf>
    <xf numFmtId="0" fontId="26" fillId="0" borderId="1" xfId="0" quotePrefix="1" applyFont="1" applyFill="1" applyBorder="1" applyAlignment="1">
      <alignment horizontal="center" vertical="center"/>
    </xf>
    <xf numFmtId="0" fontId="26" fillId="0" borderId="9" xfId="0" quotePrefix="1" applyFont="1" applyFill="1" applyBorder="1" applyAlignment="1">
      <alignment horizontal="center" vertical="center"/>
    </xf>
    <xf numFmtId="3" fontId="26" fillId="0" borderId="0" xfId="0" applyNumberFormat="1" applyFont="1" applyBorder="1"/>
    <xf numFmtId="0" fontId="27" fillId="0" borderId="0" xfId="0" applyFont="1" applyFill="1"/>
    <xf numFmtId="0" fontId="26" fillId="0" borderId="0" xfId="0" applyFont="1" applyFill="1"/>
    <xf numFmtId="0" fontId="36" fillId="0" borderId="0" xfId="0" applyFont="1" applyFill="1"/>
    <xf numFmtId="0" fontId="19" fillId="0" borderId="8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26" fillId="0" borderId="12" xfId="0" quotePrefix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left" vertical="center" wrapText="1"/>
    </xf>
    <xf numFmtId="0" fontId="38" fillId="0" borderId="13" xfId="0" applyFont="1" applyFill="1" applyBorder="1" applyAlignment="1">
      <alignment horizontal="center" vertical="center" wrapText="1" shrinkToFit="1"/>
    </xf>
    <xf numFmtId="0" fontId="38" fillId="0" borderId="14" xfId="0" applyFont="1" applyFill="1" applyBorder="1" applyAlignment="1">
      <alignment horizontal="left" vertical="center" wrapText="1"/>
    </xf>
    <xf numFmtId="0" fontId="1" fillId="0" borderId="0" xfId="0" applyFont="1"/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top" wrapText="1"/>
    </xf>
    <xf numFmtId="0" fontId="44" fillId="0" borderId="1" xfId="0" quotePrefix="1" applyFont="1" applyFill="1" applyBorder="1" applyAlignment="1">
      <alignment horizontal="center"/>
    </xf>
    <xf numFmtId="0" fontId="44" fillId="0" borderId="1" xfId="0" quotePrefix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justify" wrapText="1" shrinkToFit="1"/>
    </xf>
    <xf numFmtId="0" fontId="38" fillId="0" borderId="0" xfId="0" applyFont="1" applyAlignment="1">
      <alignment wrapText="1" shrinkToFit="1"/>
    </xf>
    <xf numFmtId="0" fontId="37" fillId="0" borderId="0" xfId="0" applyFont="1" applyAlignment="1">
      <alignment horizontal="right"/>
    </xf>
    <xf numFmtId="0" fontId="43" fillId="0" borderId="0" xfId="0" applyFont="1"/>
    <xf numFmtId="0" fontId="3" fillId="0" borderId="1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wrapText="1"/>
    </xf>
    <xf numFmtId="0" fontId="20" fillId="0" borderId="16" xfId="0" quotePrefix="1" applyFont="1" applyFill="1" applyBorder="1" applyAlignment="1">
      <alignment horizontal="center"/>
    </xf>
    <xf numFmtId="0" fontId="20" fillId="0" borderId="17" xfId="0" applyFont="1" applyFill="1" applyBorder="1" applyAlignment="1">
      <alignment wrapText="1"/>
    </xf>
    <xf numFmtId="0" fontId="20" fillId="0" borderId="18" xfId="0" quotePrefix="1" applyFont="1" applyFill="1" applyBorder="1" applyAlignment="1">
      <alignment horizontal="center"/>
    </xf>
    <xf numFmtId="3" fontId="40" fillId="0" borderId="13" xfId="0" applyNumberFormat="1" applyFont="1" applyFill="1" applyBorder="1" applyAlignment="1">
      <alignment horizontal="left" vertical="center" wrapText="1" shrinkToFit="1"/>
    </xf>
    <xf numFmtId="3" fontId="40" fillId="0" borderId="14" xfId="0" applyNumberFormat="1" applyFont="1" applyFill="1" applyBorder="1" applyAlignment="1">
      <alignment horizontal="left" vertical="center" wrapText="1" shrinkToFit="1"/>
    </xf>
    <xf numFmtId="0" fontId="48" fillId="0" borderId="0" xfId="0" applyFont="1" applyFill="1"/>
    <xf numFmtId="0" fontId="48" fillId="0" borderId="0" xfId="0" applyFont="1"/>
    <xf numFmtId="0" fontId="40" fillId="0" borderId="0" xfId="0" applyFont="1" applyAlignment="1">
      <alignment horizontal="right"/>
    </xf>
    <xf numFmtId="0" fontId="19" fillId="0" borderId="19" xfId="0" applyFont="1" applyFill="1" applyBorder="1" applyAlignment="1">
      <alignment horizontal="left" vertical="center" wrapText="1"/>
    </xf>
    <xf numFmtId="0" fontId="47" fillId="0" borderId="20" xfId="0" quotePrefix="1" applyFont="1" applyFill="1" applyBorder="1" applyAlignment="1">
      <alignment horizontal="center" vertical="center"/>
    </xf>
    <xf numFmtId="0" fontId="49" fillId="0" borderId="20" xfId="0" quotePrefix="1" applyFont="1" applyFill="1" applyBorder="1" applyAlignment="1">
      <alignment horizontal="center" vertical="center"/>
    </xf>
    <xf numFmtId="0" fontId="47" fillId="0" borderId="21" xfId="0" quotePrefix="1" applyFont="1" applyFill="1" applyBorder="1" applyAlignment="1">
      <alignment horizontal="center" vertical="center"/>
    </xf>
    <xf numFmtId="0" fontId="39" fillId="3" borderId="13" xfId="0" applyFont="1" applyFill="1" applyBorder="1" applyAlignment="1">
      <alignment horizontal="center" vertical="top" wrapText="1"/>
    </xf>
    <xf numFmtId="0" fontId="39" fillId="0" borderId="13" xfId="0" applyFont="1" applyFill="1" applyBorder="1" applyAlignment="1">
      <alignment horizontal="left" vertical="top" wrapText="1"/>
    </xf>
    <xf numFmtId="0" fontId="40" fillId="0" borderId="13" xfId="0" applyFont="1" applyFill="1" applyBorder="1" applyAlignment="1">
      <alignment horizontal="left" vertical="top" wrapText="1"/>
    </xf>
    <xf numFmtId="0" fontId="39" fillId="3" borderId="13" xfId="0" applyFont="1" applyFill="1" applyBorder="1" applyAlignment="1">
      <alignment horizontal="left" vertical="top" wrapText="1"/>
    </xf>
    <xf numFmtId="0" fontId="39" fillId="0" borderId="22" xfId="0" applyFont="1" applyFill="1" applyBorder="1" applyAlignment="1">
      <alignment horizontal="left" vertical="top" wrapText="1"/>
    </xf>
    <xf numFmtId="0" fontId="40" fillId="0" borderId="23" xfId="0" applyFont="1" applyFill="1" applyBorder="1" applyAlignment="1">
      <alignment vertical="top" wrapText="1"/>
    </xf>
    <xf numFmtId="0" fontId="40" fillId="0" borderId="12" xfId="0" applyFont="1" applyFill="1" applyBorder="1" applyAlignment="1">
      <alignment vertical="top" wrapText="1"/>
    </xf>
    <xf numFmtId="0" fontId="40" fillId="0" borderId="24" xfId="0" applyFont="1" applyFill="1" applyBorder="1" applyAlignment="1">
      <alignment vertical="top" wrapText="1"/>
    </xf>
    <xf numFmtId="0" fontId="37" fillId="0" borderId="9" xfId="0" applyFont="1" applyFill="1" applyBorder="1" applyAlignment="1">
      <alignment horizontal="center" vertical="center" wrapText="1" shrinkToFit="1"/>
    </xf>
    <xf numFmtId="0" fontId="37" fillId="0" borderId="10" xfId="0" applyFont="1" applyFill="1" applyBorder="1" applyAlignment="1">
      <alignment horizontal="center" vertical="center" wrapText="1" shrinkToFit="1"/>
    </xf>
    <xf numFmtId="2" fontId="38" fillId="0" borderId="13" xfId="0" quotePrefix="1" applyNumberFormat="1" applyFont="1" applyFill="1" applyBorder="1" applyAlignment="1">
      <alignment horizontal="center" vertical="center"/>
    </xf>
    <xf numFmtId="2" fontId="38" fillId="0" borderId="13" xfId="0" applyNumberFormat="1" applyFont="1" applyFill="1" applyBorder="1" applyAlignment="1">
      <alignment horizontal="center" vertical="center"/>
    </xf>
    <xf numFmtId="2" fontId="38" fillId="0" borderId="14" xfId="0" quotePrefix="1" applyNumberFormat="1" applyFont="1" applyFill="1" applyBorder="1" applyAlignment="1">
      <alignment horizontal="center" vertical="center"/>
    </xf>
    <xf numFmtId="2" fontId="38" fillId="0" borderId="1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0" fillId="0" borderId="0" xfId="0" applyFont="1" applyBorder="1" applyAlignment="1">
      <alignment horizontal="right"/>
    </xf>
    <xf numFmtId="0" fontId="40" fillId="0" borderId="0" xfId="0" applyFont="1" applyBorder="1" applyAlignment="1">
      <alignment horizontal="right" vertical="center"/>
    </xf>
    <xf numFmtId="165" fontId="20" fillId="0" borderId="1" xfId="0" applyNumberFormat="1" applyFont="1" applyFill="1" applyBorder="1" applyAlignment="1"/>
    <xf numFmtId="165" fontId="19" fillId="0" borderId="1" xfId="0" applyNumberFormat="1" applyFont="1" applyFill="1" applyBorder="1" applyAlignment="1"/>
    <xf numFmtId="165" fontId="21" fillId="0" borderId="1" xfId="0" applyNumberFormat="1" applyFont="1" applyFill="1" applyBorder="1" applyAlignment="1"/>
    <xf numFmtId="0" fontId="26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left" wrapText="1"/>
    </xf>
    <xf numFmtId="0" fontId="27" fillId="0" borderId="25" xfId="0" quotePrefix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left" wrapText="1"/>
    </xf>
    <xf numFmtId="0" fontId="26" fillId="0" borderId="28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top" wrapText="1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 shrinkToFit="1"/>
    </xf>
    <xf numFmtId="0" fontId="40" fillId="0" borderId="28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right" vertical="center" wrapText="1" shrinkToFit="1"/>
    </xf>
    <xf numFmtId="164" fontId="37" fillId="0" borderId="12" xfId="0" applyNumberFormat="1" applyFont="1" applyBorder="1" applyAlignment="1">
      <alignment horizontal="center" vertical="center" wrapText="1"/>
    </xf>
    <xf numFmtId="0" fontId="38" fillId="0" borderId="8" xfId="0" applyFont="1" applyBorder="1" applyAlignment="1">
      <alignment horizontal="right" vertical="center" wrapText="1" shrinkToFit="1"/>
    </xf>
    <xf numFmtId="164" fontId="38" fillId="0" borderId="1" xfId="0" applyNumberFormat="1" applyFont="1" applyBorder="1" applyAlignment="1">
      <alignment horizontal="center" vertical="center" wrapText="1"/>
    </xf>
    <xf numFmtId="164" fontId="38" fillId="0" borderId="7" xfId="0" applyNumberFormat="1" applyFont="1" applyBorder="1" applyAlignment="1">
      <alignment horizontal="center" vertical="center" wrapText="1"/>
    </xf>
    <xf numFmtId="0" fontId="38" fillId="0" borderId="31" xfId="0" applyFont="1" applyBorder="1" applyAlignment="1">
      <alignment horizontal="right" vertical="center" wrapText="1" shrinkToFit="1"/>
    </xf>
    <xf numFmtId="0" fontId="38" fillId="0" borderId="32" xfId="0" applyFont="1" applyBorder="1" applyAlignment="1">
      <alignment horizontal="center" vertical="center" wrapText="1"/>
    </xf>
    <xf numFmtId="164" fontId="37" fillId="0" borderId="32" xfId="0" applyNumberFormat="1" applyFont="1" applyBorder="1" applyAlignment="1">
      <alignment horizontal="center" vertical="center" wrapText="1"/>
    </xf>
    <xf numFmtId="164" fontId="38" fillId="0" borderId="32" xfId="0" applyNumberFormat="1" applyFont="1" applyBorder="1" applyAlignment="1">
      <alignment horizontal="center" vertical="center" wrapText="1"/>
    </xf>
    <xf numFmtId="164" fontId="38" fillId="0" borderId="33" xfId="0" applyNumberFormat="1" applyFont="1" applyBorder="1" applyAlignment="1">
      <alignment horizontal="center" vertical="center" wrapText="1"/>
    </xf>
    <xf numFmtId="164" fontId="52" fillId="0" borderId="9" xfId="0" applyNumberFormat="1" applyFont="1" applyBorder="1" applyAlignment="1">
      <alignment horizontal="center" vertical="center"/>
    </xf>
    <xf numFmtId="164" fontId="52" fillId="0" borderId="9" xfId="0" applyNumberFormat="1" applyFont="1" applyBorder="1" applyAlignment="1">
      <alignment horizontal="right" vertical="center" wrapText="1"/>
    </xf>
    <xf numFmtId="164" fontId="52" fillId="0" borderId="10" xfId="0" applyNumberFormat="1" applyFont="1" applyBorder="1" applyAlignment="1">
      <alignment horizontal="right" vertical="center" wrapText="1"/>
    </xf>
    <xf numFmtId="0" fontId="0" fillId="0" borderId="0" xfId="0" applyBorder="1"/>
    <xf numFmtId="0" fontId="0" fillId="0" borderId="0" xfId="0" applyFill="1"/>
    <xf numFmtId="0" fontId="52" fillId="0" borderId="0" xfId="0" applyFont="1" applyFill="1" applyBorder="1" applyAlignment="1">
      <alignment horizontal="right" vertical="center"/>
    </xf>
    <xf numFmtId="164" fontId="52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wrapText="1" shrinkToFit="1"/>
    </xf>
    <xf numFmtId="0" fontId="53" fillId="0" borderId="0" xfId="0" applyFont="1" applyAlignment="1">
      <alignment wrapText="1" shrinkToFit="1"/>
    </xf>
    <xf numFmtId="0" fontId="53" fillId="0" borderId="0" xfId="0" applyFont="1"/>
    <xf numFmtId="0" fontId="32" fillId="0" borderId="0" xfId="0" applyFont="1" applyFill="1"/>
    <xf numFmtId="165" fontId="20" fillId="0" borderId="1" xfId="0" applyNumberFormat="1" applyFont="1" applyFill="1" applyBorder="1" applyAlignment="1">
      <alignment vertical="center"/>
    </xf>
    <xf numFmtId="165" fontId="20" fillId="0" borderId="7" xfId="0" applyNumberFormat="1" applyFont="1" applyFill="1" applyBorder="1" applyAlignment="1">
      <alignment vertical="center"/>
    </xf>
    <xf numFmtId="165" fontId="23" fillId="0" borderId="1" xfId="0" applyNumberFormat="1" applyFont="1" applyFill="1" applyBorder="1"/>
    <xf numFmtId="165" fontId="35" fillId="0" borderId="1" xfId="0" applyNumberFormat="1" applyFont="1" applyFill="1" applyBorder="1"/>
    <xf numFmtId="165" fontId="35" fillId="0" borderId="7" xfId="0" applyNumberFormat="1" applyFont="1" applyFill="1" applyBorder="1"/>
    <xf numFmtId="165" fontId="22" fillId="0" borderId="1" xfId="0" applyNumberFormat="1" applyFont="1" applyFill="1" applyBorder="1"/>
    <xf numFmtId="165" fontId="22" fillId="0" borderId="7" xfId="0" applyNumberFormat="1" applyFont="1" applyFill="1" applyBorder="1"/>
    <xf numFmtId="165" fontId="20" fillId="0" borderId="1" xfId="0" applyNumberFormat="1" applyFont="1" applyFill="1" applyBorder="1"/>
    <xf numFmtId="165" fontId="20" fillId="0" borderId="7" xfId="0" applyNumberFormat="1" applyFont="1" applyFill="1" applyBorder="1"/>
    <xf numFmtId="165" fontId="20" fillId="0" borderId="16" xfId="0" applyNumberFormat="1" applyFont="1" applyFill="1" applyBorder="1"/>
    <xf numFmtId="165" fontId="20" fillId="0" borderId="34" xfId="0" applyNumberFormat="1" applyFont="1" applyFill="1" applyBorder="1"/>
    <xf numFmtId="165" fontId="20" fillId="0" borderId="18" xfId="0" applyNumberFormat="1" applyFont="1" applyFill="1" applyBorder="1"/>
    <xf numFmtId="165" fontId="20" fillId="0" borderId="35" xfId="0" applyNumberFormat="1" applyFont="1" applyFill="1" applyBorder="1"/>
    <xf numFmtId="165" fontId="20" fillId="0" borderId="1" xfId="0" quotePrefix="1" applyNumberFormat="1" applyFont="1" applyFill="1" applyBorder="1" applyAlignment="1">
      <alignment horizontal="center" vertical="center"/>
    </xf>
    <xf numFmtId="165" fontId="22" fillId="0" borderId="1" xfId="0" quotePrefix="1" applyNumberFormat="1" applyFont="1" applyFill="1" applyBorder="1" applyAlignment="1">
      <alignment horizontal="center"/>
    </xf>
    <xf numFmtId="165" fontId="20" fillId="0" borderId="1" xfId="0" quotePrefix="1" applyNumberFormat="1" applyFont="1" applyFill="1" applyBorder="1" applyAlignment="1">
      <alignment horizontal="center"/>
    </xf>
    <xf numFmtId="165" fontId="20" fillId="0" borderId="1" xfId="0" quotePrefix="1" applyNumberFormat="1" applyFont="1" applyFill="1" applyBorder="1" applyAlignment="1">
      <alignment horizontal="center" vertical="center" wrapText="1"/>
    </xf>
    <xf numFmtId="165" fontId="20" fillId="0" borderId="16" xfId="0" quotePrefix="1" applyNumberFormat="1" applyFont="1" applyFill="1" applyBorder="1" applyAlignment="1">
      <alignment horizontal="center"/>
    </xf>
    <xf numFmtId="165" fontId="20" fillId="0" borderId="18" xfId="0" quotePrefix="1" applyNumberFormat="1" applyFont="1" applyFill="1" applyBorder="1" applyAlignment="1">
      <alignment horizontal="center"/>
    </xf>
    <xf numFmtId="165" fontId="27" fillId="0" borderId="25" xfId="0" applyNumberFormat="1" applyFont="1" applyFill="1" applyBorder="1" applyAlignment="1">
      <alignment horizontal="right" vertical="center" wrapText="1"/>
    </xf>
    <xf numFmtId="165" fontId="27" fillId="0" borderId="18" xfId="0" applyNumberFormat="1" applyFont="1" applyFill="1" applyBorder="1" applyAlignment="1">
      <alignment horizontal="right" vertical="center"/>
    </xf>
    <xf numFmtId="165" fontId="27" fillId="0" borderId="18" xfId="0" quotePrefix="1" applyNumberFormat="1" applyFont="1" applyFill="1" applyBorder="1" applyAlignment="1">
      <alignment horizontal="right" vertical="center"/>
    </xf>
    <xf numFmtId="165" fontId="27" fillId="0" borderId="25" xfId="0" quotePrefix="1" applyNumberFormat="1" applyFont="1" applyFill="1" applyBorder="1" applyAlignment="1">
      <alignment horizontal="right" vertical="center"/>
    </xf>
    <xf numFmtId="165" fontId="27" fillId="0" borderId="25" xfId="0" applyNumberFormat="1" applyFont="1" applyFill="1" applyBorder="1" applyAlignment="1">
      <alignment horizontal="right" vertical="center"/>
    </xf>
    <xf numFmtId="165" fontId="27" fillId="0" borderId="36" xfId="0" quotePrefix="1" applyNumberFormat="1" applyFont="1" applyFill="1" applyBorder="1" applyAlignment="1">
      <alignment horizontal="right" vertical="center"/>
    </xf>
    <xf numFmtId="165" fontId="26" fillId="0" borderId="12" xfId="0" quotePrefix="1" applyNumberFormat="1" applyFont="1" applyFill="1" applyBorder="1" applyAlignment="1">
      <alignment horizontal="right" vertical="center"/>
    </xf>
    <xf numFmtId="165" fontId="27" fillId="0" borderId="12" xfId="0" applyNumberFormat="1" applyFont="1" applyFill="1" applyBorder="1" applyAlignment="1">
      <alignment horizontal="right" vertical="center"/>
    </xf>
    <xf numFmtId="165" fontId="26" fillId="0" borderId="12" xfId="0" applyNumberFormat="1" applyFont="1" applyFill="1" applyBorder="1" applyAlignment="1">
      <alignment horizontal="right" vertical="center"/>
    </xf>
    <xf numFmtId="165" fontId="26" fillId="0" borderId="24" xfId="0" applyNumberFormat="1" applyFont="1" applyFill="1" applyBorder="1" applyAlignment="1">
      <alignment horizontal="right" vertical="center"/>
    </xf>
    <xf numFmtId="165" fontId="26" fillId="0" borderId="1" xfId="0" quotePrefix="1" applyNumberFormat="1" applyFont="1" applyFill="1" applyBorder="1" applyAlignment="1">
      <alignment horizontal="right" vertical="center"/>
    </xf>
    <xf numFmtId="165" fontId="27" fillId="0" borderId="1" xfId="0" applyNumberFormat="1" applyFont="1" applyFill="1" applyBorder="1" applyAlignment="1">
      <alignment horizontal="right" vertical="center"/>
    </xf>
    <xf numFmtId="165" fontId="26" fillId="0" borderId="1" xfId="0" applyNumberFormat="1" applyFont="1" applyFill="1" applyBorder="1" applyAlignment="1">
      <alignment horizontal="right" vertical="center"/>
    </xf>
    <xf numFmtId="165" fontId="26" fillId="0" borderId="7" xfId="0" applyNumberFormat="1" applyFont="1" applyFill="1" applyBorder="1" applyAlignment="1">
      <alignment horizontal="right" vertical="center"/>
    </xf>
    <xf numFmtId="165" fontId="26" fillId="0" borderId="1" xfId="0" quotePrefix="1" applyNumberFormat="1" applyFont="1" applyFill="1" applyBorder="1" applyAlignment="1">
      <alignment horizontal="right" vertical="center" wrapText="1"/>
    </xf>
    <xf numFmtId="165" fontId="26" fillId="0" borderId="9" xfId="0" quotePrefix="1" applyNumberFormat="1" applyFont="1" applyFill="1" applyBorder="1" applyAlignment="1">
      <alignment horizontal="right" vertical="center"/>
    </xf>
    <xf numFmtId="165" fontId="27" fillId="0" borderId="9" xfId="0" applyNumberFormat="1" applyFont="1" applyFill="1" applyBorder="1" applyAlignment="1">
      <alignment horizontal="right" vertical="center"/>
    </xf>
    <xf numFmtId="165" fontId="26" fillId="0" borderId="9" xfId="0" applyNumberFormat="1" applyFont="1" applyFill="1" applyBorder="1" applyAlignment="1">
      <alignment horizontal="right" vertical="center"/>
    </xf>
    <xf numFmtId="165" fontId="26" fillId="0" borderId="10" xfId="0" applyNumberFormat="1" applyFont="1" applyFill="1" applyBorder="1" applyAlignment="1">
      <alignment horizontal="right" vertical="center"/>
    </xf>
    <xf numFmtId="165" fontId="27" fillId="0" borderId="35" xfId="0" quotePrefix="1" applyNumberFormat="1" applyFont="1" applyFill="1" applyBorder="1" applyAlignment="1">
      <alignment horizontal="right" vertical="center"/>
    </xf>
    <xf numFmtId="0" fontId="38" fillId="0" borderId="27" xfId="0" applyFont="1" applyFill="1" applyBorder="1" applyAlignment="1"/>
    <xf numFmtId="0" fontId="38" fillId="0" borderId="37" xfId="0" applyFont="1" applyFill="1" applyBorder="1" applyAlignment="1">
      <alignment horizontal="center" vertical="center" wrapText="1"/>
    </xf>
    <xf numFmtId="0" fontId="38" fillId="0" borderId="38" xfId="0" applyFont="1" applyFill="1" applyBorder="1" applyAlignment="1">
      <alignment horizontal="left" vertical="center" wrapText="1"/>
    </xf>
    <xf numFmtId="0" fontId="38" fillId="0" borderId="38" xfId="0" applyFont="1" applyFill="1" applyBorder="1" applyAlignment="1">
      <alignment horizontal="center" vertical="center" wrapText="1" shrinkToFit="1"/>
    </xf>
    <xf numFmtId="2" fontId="38" fillId="0" borderId="38" xfId="0" quotePrefix="1" applyNumberFormat="1" applyFont="1" applyFill="1" applyBorder="1" applyAlignment="1">
      <alignment horizontal="center" vertical="center"/>
    </xf>
    <xf numFmtId="2" fontId="38" fillId="0" borderId="38" xfId="0" applyNumberFormat="1" applyFont="1" applyFill="1" applyBorder="1" applyAlignment="1">
      <alignment horizontal="center" vertical="center"/>
    </xf>
    <xf numFmtId="3" fontId="40" fillId="0" borderId="38" xfId="0" applyNumberFormat="1" applyFont="1" applyFill="1" applyBorder="1" applyAlignment="1">
      <alignment horizontal="left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38" fillId="0" borderId="22" xfId="0" applyFont="1" applyFill="1" applyBorder="1" applyAlignment="1">
      <alignment horizontal="left" vertical="center" wrapText="1"/>
    </xf>
    <xf numFmtId="0" fontId="38" fillId="0" borderId="39" xfId="0" applyFont="1" applyFill="1" applyBorder="1" applyAlignment="1">
      <alignment horizontal="center" vertical="center" wrapText="1" shrinkToFit="1"/>
    </xf>
    <xf numFmtId="2" fontId="38" fillId="0" borderId="22" xfId="0" quotePrefix="1" applyNumberFormat="1" applyFont="1" applyFill="1" applyBorder="1" applyAlignment="1">
      <alignment horizontal="center" vertical="center"/>
    </xf>
    <xf numFmtId="2" fontId="38" fillId="0" borderId="22" xfId="0" applyNumberFormat="1" applyFont="1" applyFill="1" applyBorder="1" applyAlignment="1">
      <alignment horizontal="center" vertical="center"/>
    </xf>
    <xf numFmtId="3" fontId="40" fillId="0" borderId="22" xfId="0" applyNumberFormat="1" applyFont="1" applyFill="1" applyBorder="1" applyAlignment="1">
      <alignment horizontal="left" vertical="center" wrapText="1" shrinkToFit="1"/>
    </xf>
    <xf numFmtId="164" fontId="39" fillId="0" borderId="1" xfId="0" applyNumberFormat="1" applyFont="1" applyFill="1" applyBorder="1" applyAlignment="1">
      <alignment horizontal="right" vertical="center" wrapText="1"/>
    </xf>
    <xf numFmtId="164" fontId="47" fillId="0" borderId="1" xfId="0" applyNumberFormat="1" applyFont="1" applyFill="1" applyBorder="1" applyAlignment="1">
      <alignment horizontal="right" vertical="center"/>
    </xf>
    <xf numFmtId="164" fontId="39" fillId="0" borderId="7" xfId="0" applyNumberFormat="1" applyFont="1" applyFill="1" applyBorder="1" applyAlignment="1">
      <alignment horizontal="right" vertical="center" wrapText="1"/>
    </xf>
    <xf numFmtId="164" fontId="49" fillId="0" borderId="1" xfId="0" applyNumberFormat="1" applyFont="1" applyFill="1" applyBorder="1" applyAlignment="1">
      <alignment horizontal="right" vertical="center"/>
    </xf>
    <xf numFmtId="164" fontId="40" fillId="0" borderId="1" xfId="0" applyNumberFormat="1" applyFont="1" applyFill="1" applyBorder="1" applyAlignment="1">
      <alignment horizontal="right" vertical="center" wrapText="1"/>
    </xf>
    <xf numFmtId="164" fontId="40" fillId="0" borderId="7" xfId="0" applyNumberFormat="1" applyFont="1" applyFill="1" applyBorder="1" applyAlignment="1">
      <alignment horizontal="right" vertical="center" wrapText="1"/>
    </xf>
    <xf numFmtId="164" fontId="39" fillId="0" borderId="9" xfId="0" applyNumberFormat="1" applyFont="1" applyFill="1" applyBorder="1" applyAlignment="1">
      <alignment horizontal="right" vertical="center" wrapText="1"/>
    </xf>
    <xf numFmtId="164" fontId="47" fillId="0" borderId="9" xfId="0" applyNumberFormat="1" applyFont="1" applyFill="1" applyBorder="1" applyAlignment="1">
      <alignment horizontal="right" vertical="center"/>
    </xf>
    <xf numFmtId="164" fontId="39" fillId="0" borderId="10" xfId="0" applyNumberFormat="1" applyFont="1" applyFill="1" applyBorder="1" applyAlignment="1">
      <alignment horizontal="right" vertical="center" wrapText="1"/>
    </xf>
    <xf numFmtId="0" fontId="52" fillId="0" borderId="0" xfId="0" applyFont="1" applyBorder="1" applyAlignment="1">
      <alignment horizontal="right" vertical="center"/>
    </xf>
    <xf numFmtId="164" fontId="52" fillId="0" borderId="0" xfId="0" applyNumberFormat="1" applyFont="1" applyBorder="1" applyAlignment="1">
      <alignment horizontal="center" vertical="center"/>
    </xf>
    <xf numFmtId="164" fontId="52" fillId="0" borderId="0" xfId="0" applyNumberFormat="1" applyFont="1" applyBorder="1" applyAlignment="1">
      <alignment horizontal="right" vertical="center" wrapText="1"/>
    </xf>
    <xf numFmtId="0" fontId="37" fillId="0" borderId="8" xfId="0" applyFont="1" applyBorder="1" applyAlignment="1">
      <alignment horizontal="center" vertical="center" wrapText="1" shrinkToFit="1"/>
    </xf>
    <xf numFmtId="0" fontId="38" fillId="0" borderId="8" xfId="0" applyFont="1" applyBorder="1" applyAlignment="1">
      <alignment horizontal="center" vertical="center" wrapText="1" shrinkToFit="1"/>
    </xf>
    <xf numFmtId="0" fontId="38" fillId="0" borderId="31" xfId="0" applyFont="1" applyBorder="1" applyAlignment="1">
      <alignment horizontal="center" vertical="center" wrapText="1" shrinkToFit="1"/>
    </xf>
    <xf numFmtId="0" fontId="31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top"/>
    </xf>
    <xf numFmtId="49" fontId="19" fillId="0" borderId="1" xfId="0" quotePrefix="1" applyNumberFormat="1" applyFont="1" applyFill="1" applyBorder="1" applyAlignment="1">
      <alignment horizontal="center" vertical="center"/>
    </xf>
    <xf numFmtId="49" fontId="19" fillId="0" borderId="1" xfId="0" quotePrefix="1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57" fillId="0" borderId="1" xfId="0" applyFont="1" applyFill="1" applyBorder="1" applyAlignment="1">
      <alignment horizontal="left" wrapText="1"/>
    </xf>
    <xf numFmtId="0" fontId="58" fillId="0" borderId="1" xfId="0" applyFont="1" applyFill="1" applyBorder="1" applyAlignment="1">
      <alignment horizontal="left" wrapText="1"/>
    </xf>
    <xf numFmtId="0" fontId="58" fillId="0" borderId="1" xfId="0" applyFont="1" applyFill="1" applyBorder="1" applyAlignment="1">
      <alignment wrapText="1"/>
    </xf>
    <xf numFmtId="0" fontId="57" fillId="0" borderId="1" xfId="0" applyFont="1" applyFill="1" applyBorder="1" applyAlignment="1">
      <alignment wrapText="1"/>
    </xf>
    <xf numFmtId="0" fontId="57" fillId="0" borderId="1" xfId="0" applyFont="1" applyBorder="1" applyAlignment="1">
      <alignment horizontal="left" vertical="top"/>
    </xf>
    <xf numFmtId="0" fontId="59" fillId="0" borderId="0" xfId="0" applyFont="1" applyBorder="1"/>
    <xf numFmtId="0" fontId="29" fillId="0" borderId="3" xfId="0" applyFont="1" applyBorder="1" applyAlignment="1">
      <alignment vertical="top"/>
    </xf>
    <xf numFmtId="0" fontId="29" fillId="0" borderId="0" xfId="0" applyFont="1" applyBorder="1" applyAlignment="1">
      <alignment vertical="top"/>
    </xf>
    <xf numFmtId="0" fontId="20" fillId="0" borderId="0" xfId="0" applyFont="1" applyAlignment="1"/>
    <xf numFmtId="0" fontId="15" fillId="0" borderId="0" xfId="0" applyFont="1" applyBorder="1"/>
    <xf numFmtId="0" fontId="15" fillId="0" borderId="0" xfId="0" applyFont="1" applyFill="1" applyBorder="1"/>
    <xf numFmtId="0" fontId="15" fillId="0" borderId="0" xfId="0" applyFont="1" applyFill="1" applyBorder="1" applyAlignment="1"/>
    <xf numFmtId="0" fontId="8" fillId="0" borderId="2" xfId="0" applyFont="1" applyFill="1" applyBorder="1"/>
    <xf numFmtId="0" fontId="15" fillId="0" borderId="2" xfId="0" applyFont="1" applyFill="1" applyBorder="1"/>
    <xf numFmtId="0" fontId="15" fillId="0" borderId="2" xfId="0" applyFont="1" applyFill="1" applyBorder="1" applyAlignment="1"/>
    <xf numFmtId="0" fontId="51" fillId="0" borderId="0" xfId="0" applyFont="1" applyFill="1"/>
    <xf numFmtId="0" fontId="38" fillId="0" borderId="0" xfId="0" applyFont="1" applyFill="1"/>
    <xf numFmtId="165" fontId="20" fillId="0" borderId="6" xfId="0" quotePrefix="1" applyNumberFormat="1" applyFont="1" applyFill="1" applyBorder="1" applyAlignment="1">
      <alignment horizontal="center" vertical="center"/>
    </xf>
    <xf numFmtId="165" fontId="20" fillId="0" borderId="8" xfId="0" applyNumberFormat="1" applyFont="1" applyFill="1" applyBorder="1" applyAlignment="1">
      <alignment vertical="center"/>
    </xf>
    <xf numFmtId="165" fontId="20" fillId="0" borderId="7" xfId="0" quotePrefix="1" applyNumberFormat="1" applyFont="1" applyFill="1" applyBorder="1" applyAlignment="1">
      <alignment horizontal="center" vertical="center"/>
    </xf>
    <xf numFmtId="165" fontId="22" fillId="0" borderId="6" xfId="0" quotePrefix="1" applyNumberFormat="1" applyFont="1" applyFill="1" applyBorder="1" applyAlignment="1">
      <alignment horizontal="center"/>
    </xf>
    <xf numFmtId="165" fontId="23" fillId="0" borderId="8" xfId="0" applyNumberFormat="1" applyFont="1" applyFill="1" applyBorder="1"/>
    <xf numFmtId="165" fontId="22" fillId="0" borderId="7" xfId="0" quotePrefix="1" applyNumberFormat="1" applyFont="1" applyFill="1" applyBorder="1" applyAlignment="1">
      <alignment horizontal="center"/>
    </xf>
    <xf numFmtId="0" fontId="60" fillId="0" borderId="1" xfId="0" quotePrefix="1" applyFont="1" applyFill="1" applyBorder="1" applyAlignment="1">
      <alignment horizontal="center"/>
    </xf>
    <xf numFmtId="165" fontId="20" fillId="0" borderId="6" xfId="0" quotePrefix="1" applyNumberFormat="1" applyFont="1" applyFill="1" applyBorder="1" applyAlignment="1">
      <alignment horizontal="center"/>
    </xf>
    <xf numFmtId="165" fontId="20" fillId="0" borderId="8" xfId="0" applyNumberFormat="1" applyFont="1" applyFill="1" applyBorder="1"/>
    <xf numFmtId="165" fontId="20" fillId="0" borderId="7" xfId="0" quotePrefix="1" applyNumberFormat="1" applyFont="1" applyFill="1" applyBorder="1" applyAlignment="1">
      <alignment horizontal="center"/>
    </xf>
    <xf numFmtId="165" fontId="20" fillId="0" borderId="6" xfId="0" quotePrefix="1" applyNumberFormat="1" applyFont="1" applyFill="1" applyBorder="1" applyAlignment="1">
      <alignment horizontal="center" vertical="center" wrapText="1"/>
    </xf>
    <xf numFmtId="165" fontId="20" fillId="0" borderId="7" xfId="0" quotePrefix="1" applyNumberFormat="1" applyFont="1" applyFill="1" applyBorder="1" applyAlignment="1">
      <alignment horizontal="center" vertical="center" wrapText="1"/>
    </xf>
    <xf numFmtId="165" fontId="20" fillId="0" borderId="5" xfId="0" quotePrefix="1" applyNumberFormat="1" applyFont="1" applyFill="1" applyBorder="1" applyAlignment="1">
      <alignment horizontal="center"/>
    </xf>
    <xf numFmtId="165" fontId="20" fillId="0" borderId="15" xfId="0" applyNumberFormat="1" applyFont="1" applyFill="1" applyBorder="1"/>
    <xf numFmtId="165" fontId="20" fillId="0" borderId="34" xfId="0" quotePrefix="1" applyNumberFormat="1" applyFont="1" applyFill="1" applyBorder="1" applyAlignment="1">
      <alignment horizontal="center"/>
    </xf>
    <xf numFmtId="0" fontId="58" fillId="0" borderId="40" xfId="0" quotePrefix="1" applyFont="1" applyFill="1" applyBorder="1" applyAlignment="1">
      <alignment horizontal="center"/>
    </xf>
    <xf numFmtId="165" fontId="20" fillId="0" borderId="40" xfId="0" quotePrefix="1" applyNumberFormat="1" applyFont="1" applyFill="1" applyBorder="1" applyAlignment="1">
      <alignment horizontal="center"/>
    </xf>
    <xf numFmtId="165" fontId="20" fillId="0" borderId="41" xfId="0" applyNumberFormat="1" applyFont="1" applyFill="1" applyBorder="1"/>
    <xf numFmtId="165" fontId="20" fillId="0" borderId="40" xfId="0" applyNumberFormat="1" applyFont="1" applyFill="1" applyBorder="1"/>
    <xf numFmtId="165" fontId="20" fillId="0" borderId="42" xfId="0" applyNumberFormat="1" applyFont="1" applyFill="1" applyBorder="1"/>
    <xf numFmtId="165" fontId="20" fillId="0" borderId="42" xfId="0" quotePrefix="1" applyNumberFormat="1" applyFont="1" applyFill="1" applyBorder="1" applyAlignment="1">
      <alignment horizontal="center"/>
    </xf>
    <xf numFmtId="165" fontId="20" fillId="0" borderId="43" xfId="0" quotePrefix="1" applyNumberFormat="1" applyFont="1" applyFill="1" applyBorder="1" applyAlignment="1">
      <alignment horizontal="center"/>
    </xf>
    <xf numFmtId="165" fontId="20" fillId="0" borderId="17" xfId="0" applyNumberFormat="1" applyFont="1" applyFill="1" applyBorder="1"/>
    <xf numFmtId="0" fontId="26" fillId="0" borderId="1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69" fillId="0" borderId="1" xfId="0" applyFont="1" applyBorder="1" applyAlignment="1">
      <alignment vertical="center" wrapText="1"/>
    </xf>
    <xf numFmtId="0" fontId="62" fillId="0" borderId="1" xfId="0" applyFont="1" applyBorder="1" applyAlignment="1">
      <alignment wrapText="1"/>
    </xf>
    <xf numFmtId="0" fontId="62" fillId="0" borderId="1" xfId="0" applyFont="1" applyBorder="1" applyAlignment="1">
      <alignment horizontal="center"/>
    </xf>
    <xf numFmtId="0" fontId="62" fillId="0" borderId="1" xfId="0" applyFont="1" applyBorder="1"/>
    <xf numFmtId="0" fontId="63" fillId="0" borderId="1" xfId="0" applyFont="1" applyBorder="1" applyAlignment="1">
      <alignment wrapText="1"/>
    </xf>
    <xf numFmtId="0" fontId="62" fillId="0" borderId="0" xfId="0" applyFont="1" applyBorder="1" applyAlignment="1">
      <alignment wrapText="1"/>
    </xf>
    <xf numFmtId="0" fontId="62" fillId="0" borderId="0" xfId="0" applyFont="1" applyBorder="1" applyAlignment="1">
      <alignment horizontal="center"/>
    </xf>
    <xf numFmtId="0" fontId="62" fillId="0" borderId="0" xfId="0" applyFont="1" applyBorder="1"/>
    <xf numFmtId="0" fontId="19" fillId="4" borderId="0" xfId="0" applyFont="1" applyFill="1" applyBorder="1"/>
    <xf numFmtId="49" fontId="19" fillId="0" borderId="3" xfId="0" applyNumberFormat="1" applyFont="1" applyBorder="1"/>
    <xf numFmtId="0" fontId="26" fillId="0" borderId="0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70" fillId="0" borderId="1" xfId="0" applyFont="1" applyFill="1" applyBorder="1" applyAlignment="1">
      <alignment wrapText="1"/>
    </xf>
    <xf numFmtId="0" fontId="19" fillId="0" borderId="0" xfId="0" applyFont="1" applyFill="1"/>
    <xf numFmtId="0" fontId="65" fillId="0" borderId="0" xfId="0" applyFont="1" applyFill="1"/>
    <xf numFmtId="0" fontId="19" fillId="7" borderId="0" xfId="0" applyFont="1" applyFill="1" applyAlignment="1">
      <alignment horizontal="left"/>
    </xf>
    <xf numFmtId="0" fontId="59" fillId="0" borderId="0" xfId="0" applyFont="1" applyFill="1"/>
    <xf numFmtId="2" fontId="71" fillId="0" borderId="13" xfId="0" quotePrefix="1" applyNumberFormat="1" applyFont="1" applyFill="1" applyBorder="1" applyAlignment="1">
      <alignment horizontal="center" vertical="center"/>
    </xf>
    <xf numFmtId="0" fontId="4" fillId="4" borderId="0" xfId="0" applyFont="1" applyFill="1" applyBorder="1"/>
    <xf numFmtId="0" fontId="39" fillId="0" borderId="0" xfId="0" applyFont="1" applyFill="1"/>
    <xf numFmtId="0" fontId="13" fillId="0" borderId="0" xfId="0" applyFont="1" applyBorder="1"/>
    <xf numFmtId="0" fontId="38" fillId="4" borderId="12" xfId="0" applyFont="1" applyFill="1" applyBorder="1" applyAlignment="1">
      <alignment horizontal="center" vertical="center" wrapText="1"/>
    </xf>
    <xf numFmtId="164" fontId="71" fillId="0" borderId="12" xfId="0" applyNumberFormat="1" applyFont="1" applyBorder="1" applyAlignment="1">
      <alignment horizontal="center" vertical="center" wrapText="1"/>
    </xf>
    <xf numFmtId="164" fontId="71" fillId="0" borderId="24" xfId="0" applyNumberFormat="1" applyFont="1" applyBorder="1" applyAlignment="1">
      <alignment horizontal="center" vertical="center" wrapText="1"/>
    </xf>
    <xf numFmtId="0" fontId="59" fillId="0" borderId="1" xfId="0" applyFont="1" applyBorder="1"/>
    <xf numFmtId="165" fontId="23" fillId="0" borderId="1" xfId="0" quotePrefix="1" applyNumberFormat="1" applyFont="1" applyFill="1" applyBorder="1" applyAlignment="1">
      <alignment horizontal="center"/>
    </xf>
    <xf numFmtId="165" fontId="19" fillId="0" borderId="6" xfId="0" applyNumberFormat="1" applyFont="1" applyFill="1" applyBorder="1" applyAlignment="1">
      <alignment horizontal="center"/>
    </xf>
    <xf numFmtId="165" fontId="60" fillId="0" borderId="1" xfId="0" quotePrefix="1" applyNumberFormat="1" applyFont="1" applyFill="1" applyBorder="1" applyAlignment="1">
      <alignment horizontal="center"/>
    </xf>
    <xf numFmtId="0" fontId="59" fillId="0" borderId="1" xfId="0" applyFont="1" applyBorder="1" applyAlignment="1">
      <alignment horizontal="left" wrapText="1"/>
    </xf>
    <xf numFmtId="0" fontId="59" fillId="0" borderId="1" xfId="0" applyFont="1" applyBorder="1" applyAlignment="1">
      <alignment wrapText="1"/>
    </xf>
    <xf numFmtId="0" fontId="19" fillId="0" borderId="8" xfId="0" applyFont="1" applyFill="1" applyBorder="1" applyAlignment="1">
      <alignment horizontal="left" wrapText="1"/>
    </xf>
    <xf numFmtId="0" fontId="19" fillId="0" borderId="44" xfId="0" applyFont="1" applyFill="1" applyBorder="1" applyAlignment="1">
      <alignment horizontal="left" wrapText="1"/>
    </xf>
    <xf numFmtId="165" fontId="20" fillId="0" borderId="4" xfId="0" applyNumberFormat="1" applyFont="1" applyFill="1" applyBorder="1"/>
    <xf numFmtId="165" fontId="20" fillId="0" borderId="36" xfId="0" quotePrefix="1" applyNumberFormat="1" applyFont="1" applyFill="1" applyBorder="1" applyAlignment="1">
      <alignment horizontal="center"/>
    </xf>
    <xf numFmtId="165" fontId="19" fillId="0" borderId="1" xfId="0" applyNumberFormat="1" applyFont="1" applyFill="1" applyBorder="1" applyAlignment="1">
      <alignment horizontal="center"/>
    </xf>
    <xf numFmtId="0" fontId="68" fillId="0" borderId="0" xfId="0" applyFont="1" applyFill="1"/>
    <xf numFmtId="164" fontId="73" fillId="0" borderId="1" xfId="0" applyNumberFormat="1" applyFont="1" applyFill="1" applyBorder="1" applyAlignment="1">
      <alignment horizontal="right" vertical="center" wrapText="1"/>
    </xf>
    <xf numFmtId="164" fontId="74" fillId="0" borderId="1" xfId="0" applyNumberFormat="1" applyFont="1" applyFill="1" applyBorder="1" applyAlignment="1">
      <alignment horizontal="right" vertical="center" wrapText="1"/>
    </xf>
    <xf numFmtId="164" fontId="74" fillId="0" borderId="7" xfId="0" applyNumberFormat="1" applyFont="1" applyFill="1" applyBorder="1" applyAlignment="1">
      <alignment horizontal="right" vertical="center" wrapText="1"/>
    </xf>
    <xf numFmtId="164" fontId="73" fillId="0" borderId="7" xfId="0" applyNumberFormat="1" applyFont="1" applyFill="1" applyBorder="1" applyAlignment="1">
      <alignment horizontal="right" vertical="center" wrapText="1"/>
    </xf>
    <xf numFmtId="165" fontId="75" fillId="0" borderId="1" xfId="0" applyNumberFormat="1" applyFont="1" applyFill="1" applyBorder="1" applyAlignment="1"/>
    <xf numFmtId="0" fontId="4" fillId="0" borderId="16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9" fillId="0" borderId="23" xfId="0" applyFont="1" applyBorder="1" applyAlignment="1">
      <alignment horizontal="right"/>
    </xf>
    <xf numFmtId="0" fontId="33" fillId="0" borderId="3" xfId="0" applyFont="1" applyBorder="1" applyAlignment="1">
      <alignment wrapText="1"/>
    </xf>
    <xf numFmtId="0" fontId="32" fillId="0" borderId="2" xfId="0" applyFont="1" applyBorder="1" applyAlignment="1">
      <alignment horizontal="center" wrapText="1"/>
    </xf>
    <xf numFmtId="0" fontId="32" fillId="0" borderId="3" xfId="0" applyFont="1" applyBorder="1" applyAlignment="1">
      <alignment wrapText="1"/>
    </xf>
    <xf numFmtId="0" fontId="57" fillId="0" borderId="6" xfId="0" applyFont="1" applyBorder="1" applyAlignment="1">
      <alignment horizontal="left" vertical="top"/>
    </xf>
    <xf numFmtId="0" fontId="57" fillId="0" borderId="20" xfId="0" applyFont="1" applyBorder="1" applyAlignment="1">
      <alignment horizontal="left" vertical="top"/>
    </xf>
    <xf numFmtId="0" fontId="34" fillId="0" borderId="3" xfId="0" applyFont="1" applyBorder="1" applyAlignment="1">
      <alignment wrapText="1"/>
    </xf>
    <xf numFmtId="0" fontId="31" fillId="0" borderId="0" xfId="0" applyFont="1" applyBorder="1" applyAlignment="1">
      <alignment horizontal="center"/>
    </xf>
    <xf numFmtId="0" fontId="33" fillId="0" borderId="3" xfId="0" applyFont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right"/>
    </xf>
    <xf numFmtId="0" fontId="20" fillId="3" borderId="45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4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wrapText="1"/>
    </xf>
    <xf numFmtId="0" fontId="22" fillId="0" borderId="15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8" fillId="0" borderId="52" xfId="0" applyFont="1" applyFill="1" applyBorder="1" applyAlignment="1">
      <alignment horizontal="right" vertical="center" wrapText="1"/>
    </xf>
    <xf numFmtId="0" fontId="28" fillId="0" borderId="53" xfId="0" applyFont="1" applyFill="1" applyBorder="1" applyAlignment="1">
      <alignment horizontal="right" vertical="center" wrapText="1"/>
    </xf>
    <xf numFmtId="0" fontId="28" fillId="0" borderId="54" xfId="0" applyFont="1" applyFill="1" applyBorder="1" applyAlignment="1">
      <alignment horizontal="right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2" fillId="0" borderId="0" xfId="0" applyFont="1" applyBorder="1"/>
    <xf numFmtId="0" fontId="26" fillId="0" borderId="55" xfId="0" applyFont="1" applyBorder="1"/>
    <xf numFmtId="0" fontId="22" fillId="0" borderId="0" xfId="0" applyFont="1" applyBorder="1" applyAlignment="1">
      <alignment horizontal="right"/>
    </xf>
    <xf numFmtId="0" fontId="27" fillId="3" borderId="56" xfId="0" applyFont="1" applyFill="1" applyBorder="1" applyAlignment="1">
      <alignment horizontal="center" vertical="center" wrapText="1"/>
    </xf>
    <xf numFmtId="0" fontId="27" fillId="3" borderId="57" xfId="0" applyFont="1" applyFill="1" applyBorder="1" applyAlignment="1">
      <alignment horizontal="center" vertical="center" wrapText="1"/>
    </xf>
    <xf numFmtId="0" fontId="27" fillId="3" borderId="58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wrapText="1"/>
    </xf>
    <xf numFmtId="0" fontId="26" fillId="0" borderId="48" xfId="0" applyFont="1" applyBorder="1" applyAlignment="1">
      <alignment horizontal="center" wrapText="1"/>
    </xf>
    <xf numFmtId="0" fontId="26" fillId="0" borderId="49" xfId="0" applyFont="1" applyBorder="1" applyAlignment="1">
      <alignment horizontal="center" wrapText="1"/>
    </xf>
    <xf numFmtId="0" fontId="26" fillId="0" borderId="50" xfId="0" applyFont="1" applyFill="1" applyBorder="1" applyAlignment="1">
      <alignment horizontal="center"/>
    </xf>
    <xf numFmtId="0" fontId="26" fillId="0" borderId="51" xfId="0" applyFont="1" applyFill="1" applyBorder="1" applyAlignment="1">
      <alignment horizontal="center"/>
    </xf>
    <xf numFmtId="0" fontId="37" fillId="3" borderId="56" xfId="0" applyFont="1" applyFill="1" applyBorder="1" applyAlignment="1">
      <alignment horizontal="center" vertical="center" wrapText="1"/>
    </xf>
    <xf numFmtId="0" fontId="37" fillId="3" borderId="57" xfId="0" applyFont="1" applyFill="1" applyBorder="1" applyAlignment="1">
      <alignment horizontal="center" vertical="center" wrapText="1"/>
    </xf>
    <xf numFmtId="0" fontId="37" fillId="3" borderId="58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39" fillId="0" borderId="3" xfId="0" applyFont="1" applyFill="1" applyBorder="1" applyAlignment="1">
      <alignment horizontal="center" vertical="center" wrapText="1"/>
    </xf>
    <xf numFmtId="0" fontId="39" fillId="0" borderId="59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0" fontId="38" fillId="0" borderId="60" xfId="0" applyFont="1" applyFill="1" applyBorder="1" applyAlignment="1">
      <alignment horizontal="center" vertical="top" wrapText="1"/>
    </xf>
    <xf numFmtId="0" fontId="38" fillId="0" borderId="14" xfId="0" applyFont="1" applyFill="1" applyBorder="1" applyAlignment="1">
      <alignment horizontal="center" vertical="top" wrapText="1"/>
    </xf>
    <xf numFmtId="0" fontId="37" fillId="0" borderId="56" xfId="0" applyFont="1" applyFill="1" applyBorder="1" applyAlignment="1">
      <alignment horizontal="center" vertical="center" wrapText="1"/>
    </xf>
    <xf numFmtId="0" fontId="37" fillId="0" borderId="57" xfId="0" applyFont="1" applyFill="1" applyBorder="1" applyAlignment="1">
      <alignment horizontal="center" vertical="center" wrapText="1"/>
    </xf>
    <xf numFmtId="0" fontId="37" fillId="0" borderId="58" xfId="0" applyFont="1" applyFill="1" applyBorder="1" applyAlignment="1">
      <alignment horizontal="center" vertical="center" wrapText="1"/>
    </xf>
    <xf numFmtId="0" fontId="72" fillId="0" borderId="48" xfId="0" applyFont="1" applyFill="1" applyBorder="1" applyAlignment="1">
      <alignment horizontal="center" vertical="center" wrapText="1" shrinkToFit="1"/>
    </xf>
    <xf numFmtId="0" fontId="72" fillId="0" borderId="9" xfId="0" applyFont="1" applyFill="1" applyBorder="1" applyAlignment="1">
      <alignment horizontal="center" vertical="center" wrapText="1" shrinkToFit="1"/>
    </xf>
    <xf numFmtId="0" fontId="37" fillId="0" borderId="48" xfId="0" applyFont="1" applyFill="1" applyBorder="1" applyAlignment="1">
      <alignment horizontal="center" vertical="center" wrapText="1" shrinkToFit="1"/>
    </xf>
    <xf numFmtId="0" fontId="37" fillId="0" borderId="49" xfId="0" applyFont="1" applyFill="1" applyBorder="1" applyAlignment="1">
      <alignment horizontal="center" vertical="center" wrapText="1" shrinkToFit="1"/>
    </xf>
    <xf numFmtId="0" fontId="37" fillId="0" borderId="61" xfId="0" applyFont="1" applyFill="1" applyBorder="1" applyAlignment="1">
      <alignment horizontal="center" vertical="center" wrapText="1" shrinkToFit="1"/>
    </xf>
    <xf numFmtId="0" fontId="37" fillId="0" borderId="11" xfId="0" applyFont="1" applyFill="1" applyBorder="1" applyAlignment="1">
      <alignment horizontal="center" vertical="center" wrapText="1" shrinkToFit="1"/>
    </xf>
    <xf numFmtId="0" fontId="37" fillId="0" borderId="9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right"/>
    </xf>
    <xf numFmtId="0" fontId="11" fillId="0" borderId="55" xfId="0" applyFont="1" applyBorder="1" applyAlignment="1">
      <alignment horizontal="right"/>
    </xf>
    <xf numFmtId="0" fontId="37" fillId="0" borderId="3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165" fontId="54" fillId="0" borderId="68" xfId="0" applyNumberFormat="1" applyFont="1" applyBorder="1" applyAlignment="1">
      <alignment horizontal="right" vertical="top" wrapText="1"/>
    </xf>
    <xf numFmtId="165" fontId="54" fillId="0" borderId="69" xfId="0" applyNumberFormat="1" applyFont="1" applyBorder="1" applyAlignment="1">
      <alignment horizontal="right" vertical="top" wrapText="1"/>
    </xf>
    <xf numFmtId="165" fontId="54" fillId="0" borderId="73" xfId="0" applyNumberFormat="1" applyFont="1" applyBorder="1" applyAlignment="1">
      <alignment horizontal="right" vertical="top" wrapText="1"/>
    </xf>
    <xf numFmtId="165" fontId="50" fillId="0" borderId="65" xfId="0" applyNumberFormat="1" applyFont="1" applyBorder="1" applyAlignment="1">
      <alignment horizontal="right" vertical="top" wrapText="1"/>
    </xf>
    <xf numFmtId="165" fontId="50" fillId="0" borderId="66" xfId="0" applyNumberFormat="1" applyFont="1" applyBorder="1" applyAlignment="1">
      <alignment horizontal="right" vertical="top" wrapText="1"/>
    </xf>
    <xf numFmtId="165" fontId="50" fillId="0" borderId="74" xfId="0" applyNumberFormat="1" applyFont="1" applyBorder="1" applyAlignment="1">
      <alignment horizontal="right" vertical="top" wrapText="1"/>
    </xf>
    <xf numFmtId="165" fontId="50" fillId="0" borderId="6" xfId="0" applyNumberFormat="1" applyFont="1" applyBorder="1" applyAlignment="1">
      <alignment horizontal="right" vertical="top" wrapText="1"/>
    </xf>
    <xf numFmtId="165" fontId="50" fillId="0" borderId="3" xfId="0" applyNumberFormat="1" applyFont="1" applyBorder="1" applyAlignment="1">
      <alignment horizontal="right" vertical="top" wrapText="1"/>
    </xf>
    <xf numFmtId="165" fontId="50" fillId="0" borderId="59" xfId="0" applyNumberFormat="1" applyFont="1" applyBorder="1" applyAlignment="1">
      <alignment horizontal="right" vertical="top" wrapText="1"/>
    </xf>
    <xf numFmtId="0" fontId="37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left" vertical="top" wrapText="1"/>
    </xf>
    <xf numFmtId="0" fontId="50" fillId="0" borderId="1" xfId="0" applyFont="1" applyBorder="1" applyAlignment="1">
      <alignment horizontal="left" vertical="top" wrapText="1"/>
    </xf>
    <xf numFmtId="0" fontId="37" fillId="3" borderId="45" xfId="0" applyFont="1" applyFill="1" applyBorder="1" applyAlignment="1">
      <alignment horizontal="left" vertical="center" wrapText="1"/>
    </xf>
    <xf numFmtId="0" fontId="37" fillId="3" borderId="46" xfId="0" applyFont="1" applyFill="1" applyBorder="1" applyAlignment="1">
      <alignment horizontal="left" vertical="center" wrapText="1"/>
    </xf>
    <xf numFmtId="0" fontId="37" fillId="3" borderId="47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vertical="top" wrapText="1"/>
    </xf>
    <xf numFmtId="165" fontId="50" fillId="0" borderId="20" xfId="0" applyNumberFormat="1" applyFont="1" applyBorder="1" applyAlignment="1">
      <alignment horizontal="right" vertical="top" wrapText="1"/>
    </xf>
    <xf numFmtId="0" fontId="37" fillId="0" borderId="62" xfId="0" applyFont="1" applyBorder="1" applyAlignment="1">
      <alignment horizontal="center" vertical="top" wrapText="1"/>
    </xf>
    <xf numFmtId="0" fontId="37" fillId="0" borderId="20" xfId="0" applyFont="1" applyBorder="1" applyAlignment="1">
      <alignment horizontal="center" vertical="center" wrapText="1"/>
    </xf>
    <xf numFmtId="0" fontId="37" fillId="6" borderId="64" xfId="0" applyFont="1" applyFill="1" applyBorder="1" applyAlignment="1">
      <alignment horizontal="justify" vertical="top" wrapText="1"/>
    </xf>
    <xf numFmtId="0" fontId="37" fillId="6" borderId="2" xfId="0" applyFont="1" applyFill="1" applyBorder="1" applyAlignment="1">
      <alignment horizontal="justify" vertical="top" wrapText="1"/>
    </xf>
    <xf numFmtId="0" fontId="37" fillId="6" borderId="23" xfId="0" applyFont="1" applyFill="1" applyBorder="1" applyAlignment="1">
      <alignment horizontal="justify" vertical="top" wrapText="1"/>
    </xf>
    <xf numFmtId="0" fontId="38" fillId="0" borderId="6" xfId="0" applyFont="1" applyBorder="1" applyAlignment="1">
      <alignment vertical="top" wrapText="1" shrinkToFit="1"/>
    </xf>
    <xf numFmtId="0" fontId="38" fillId="0" borderId="20" xfId="0" applyFont="1" applyBorder="1" applyAlignment="1">
      <alignment vertical="top" wrapText="1" shrinkToFit="1"/>
    </xf>
    <xf numFmtId="0" fontId="37" fillId="0" borderId="6" xfId="0" applyFont="1" applyFill="1" applyBorder="1" applyAlignment="1">
      <alignment vertical="top" wrapText="1" shrinkToFit="1"/>
    </xf>
    <xf numFmtId="0" fontId="37" fillId="0" borderId="20" xfId="0" applyFont="1" applyFill="1" applyBorder="1" applyAlignment="1">
      <alignment vertical="top" wrapText="1" shrinkToFit="1"/>
    </xf>
    <xf numFmtId="0" fontId="50" fillId="0" borderId="15" xfId="0" applyFont="1" applyBorder="1" applyAlignment="1">
      <alignment horizontal="left" vertical="top" wrapText="1"/>
    </xf>
    <xf numFmtId="0" fontId="50" fillId="0" borderId="16" xfId="0" applyFont="1" applyBorder="1" applyAlignment="1">
      <alignment horizontal="left" vertical="top" wrapText="1"/>
    </xf>
    <xf numFmtId="0" fontId="37" fillId="0" borderId="71" xfId="0" applyFont="1" applyBorder="1" applyAlignment="1">
      <alignment horizontal="right" vertical="top" wrapText="1"/>
    </xf>
    <xf numFmtId="0" fontId="37" fillId="0" borderId="72" xfId="0" applyFont="1" applyBorder="1" applyAlignment="1">
      <alignment horizontal="right" vertical="top" wrapText="1"/>
    </xf>
    <xf numFmtId="0" fontId="38" fillId="0" borderId="6" xfId="0" applyFont="1" applyBorder="1" applyAlignment="1">
      <alignment horizontal="justify" vertical="top" wrapText="1" shrinkToFit="1"/>
    </xf>
    <xf numFmtId="0" fontId="38" fillId="0" borderId="20" xfId="0" applyFont="1" applyBorder="1" applyAlignment="1">
      <alignment horizontal="justify" vertical="top" wrapText="1" shrinkToFit="1"/>
    </xf>
    <xf numFmtId="0" fontId="37" fillId="0" borderId="2" xfId="0" applyFont="1" applyBorder="1" applyAlignment="1">
      <alignment horizontal="center" vertical="top" wrapText="1"/>
    </xf>
    <xf numFmtId="165" fontId="50" fillId="0" borderId="67" xfId="0" applyNumberFormat="1" applyFont="1" applyBorder="1" applyAlignment="1">
      <alignment horizontal="right" vertical="top" wrapText="1"/>
    </xf>
    <xf numFmtId="165" fontId="54" fillId="0" borderId="70" xfId="0" applyNumberFormat="1" applyFont="1" applyBorder="1" applyAlignment="1">
      <alignment horizontal="right" vertical="top" wrapText="1"/>
    </xf>
    <xf numFmtId="0" fontId="38" fillId="0" borderId="1" xfId="0" applyFont="1" applyBorder="1" applyAlignment="1">
      <alignment horizontal="center" vertical="top" wrapText="1"/>
    </xf>
    <xf numFmtId="164" fontId="38" fillId="0" borderId="1" xfId="0" applyNumberFormat="1" applyFont="1" applyBorder="1" applyAlignment="1">
      <alignment horizontal="center" vertical="center" wrapText="1"/>
    </xf>
    <xf numFmtId="0" fontId="38" fillId="0" borderId="6" xfId="0" applyFont="1" applyBorder="1" applyAlignment="1">
      <alignment horizontal="left" vertical="center" wrapText="1" shrinkToFit="1"/>
    </xf>
    <xf numFmtId="0" fontId="38" fillId="0" borderId="20" xfId="0" applyFont="1" applyBorder="1" applyAlignment="1">
      <alignment horizontal="left" vertical="center" wrapText="1" shrinkToFit="1"/>
    </xf>
    <xf numFmtId="0" fontId="38" fillId="0" borderId="16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left" vertical="top" wrapText="1" shrinkToFit="1"/>
    </xf>
    <xf numFmtId="0" fontId="38" fillId="0" borderId="20" xfId="0" applyFont="1" applyBorder="1" applyAlignment="1">
      <alignment horizontal="left" vertical="top" wrapText="1" shrinkToFit="1"/>
    </xf>
    <xf numFmtId="0" fontId="37" fillId="0" borderId="6" xfId="0" applyFont="1" applyFill="1" applyBorder="1" applyAlignment="1">
      <alignment horizontal="left" vertical="top" wrapText="1" shrinkToFit="1"/>
    </xf>
    <xf numFmtId="0" fontId="37" fillId="0" borderId="20" xfId="0" applyFont="1" applyFill="1" applyBorder="1" applyAlignment="1">
      <alignment horizontal="left" vertical="top" wrapText="1" shrinkToFit="1"/>
    </xf>
    <xf numFmtId="164" fontId="38" fillId="0" borderId="16" xfId="0" applyNumberFormat="1" applyFont="1" applyBorder="1" applyAlignment="1">
      <alignment horizontal="center" vertical="center" wrapText="1"/>
    </xf>
    <xf numFmtId="164" fontId="38" fillId="0" borderId="6" xfId="0" applyNumberFormat="1" applyFont="1" applyBorder="1" applyAlignment="1">
      <alignment horizontal="center" vertical="center" wrapText="1"/>
    </xf>
    <xf numFmtId="164" fontId="38" fillId="0" borderId="3" xfId="0" applyNumberFormat="1" applyFont="1" applyBorder="1" applyAlignment="1">
      <alignment horizontal="center" vertical="center" wrapText="1"/>
    </xf>
    <xf numFmtId="164" fontId="38" fillId="0" borderId="20" xfId="0" applyNumberFormat="1" applyFont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top" wrapText="1"/>
    </xf>
    <xf numFmtId="0" fontId="38" fillId="0" borderId="6" xfId="0" applyFont="1" applyFill="1" applyBorder="1" applyAlignment="1">
      <alignment horizontal="left" vertical="top" wrapText="1" shrinkToFit="1"/>
    </xf>
    <xf numFmtId="0" fontId="38" fillId="0" borderId="20" xfId="0" applyFont="1" applyFill="1" applyBorder="1" applyAlignment="1">
      <alignment horizontal="left" vertical="top" wrapText="1" shrinkToFit="1"/>
    </xf>
    <xf numFmtId="164" fontId="38" fillId="0" borderId="6" xfId="0" applyNumberFormat="1" applyFont="1" applyFill="1" applyBorder="1" applyAlignment="1">
      <alignment horizontal="center" vertical="center" wrapText="1"/>
    </xf>
    <xf numFmtId="164" fontId="38" fillId="0" borderId="3" xfId="0" applyNumberFormat="1" applyFont="1" applyFill="1" applyBorder="1" applyAlignment="1">
      <alignment horizontal="center" vertical="center" wrapText="1"/>
    </xf>
    <xf numFmtId="164" fontId="38" fillId="0" borderId="20" xfId="0" applyNumberFormat="1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top" wrapText="1"/>
    </xf>
    <xf numFmtId="0" fontId="37" fillId="0" borderId="3" xfId="0" applyFont="1" applyFill="1" applyBorder="1" applyAlignment="1">
      <alignment horizontal="center" vertical="top" wrapText="1"/>
    </xf>
    <xf numFmtId="0" fontId="37" fillId="0" borderId="20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vertical="top" wrapText="1" shrinkToFit="1"/>
    </xf>
    <xf numFmtId="0" fontId="38" fillId="2" borderId="20" xfId="0" applyFont="1" applyFill="1" applyBorder="1" applyAlignment="1">
      <alignment vertical="top" wrapText="1" shrinkToFit="1"/>
    </xf>
    <xf numFmtId="0" fontId="38" fillId="0" borderId="0" xfId="0" applyFont="1" applyAlignment="1">
      <alignment horizontal="left"/>
    </xf>
    <xf numFmtId="0" fontId="37" fillId="5" borderId="1" xfId="0" applyFont="1" applyFill="1" applyBorder="1" applyAlignment="1">
      <alignment vertical="top" wrapText="1"/>
    </xf>
    <xf numFmtId="164" fontId="37" fillId="0" borderId="6" xfId="0" applyNumberFormat="1" applyFont="1" applyFill="1" applyBorder="1" applyAlignment="1">
      <alignment horizontal="center" vertical="center" wrapText="1"/>
    </xf>
    <xf numFmtId="164" fontId="37" fillId="0" borderId="3" xfId="0" applyNumberFormat="1" applyFont="1" applyFill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Border="1" applyAlignment="1">
      <alignment vertical="top" wrapText="1"/>
    </xf>
    <xf numFmtId="0" fontId="38" fillId="0" borderId="0" xfId="0" applyFont="1" applyBorder="1" applyAlignment="1">
      <alignment horizontal="left" wrapText="1" shrinkToFit="1"/>
    </xf>
    <xf numFmtId="164" fontId="37" fillId="0" borderId="16" xfId="0" applyNumberFormat="1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left" wrapText="1"/>
    </xf>
    <xf numFmtId="0" fontId="38" fillId="0" borderId="20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horizontal="center" vertical="top" wrapText="1"/>
    </xf>
    <xf numFmtId="0" fontId="38" fillId="2" borderId="1" xfId="0" applyFont="1" applyFill="1" applyBorder="1" applyAlignment="1">
      <alignment horizontal="center" vertical="top" wrapText="1"/>
    </xf>
    <xf numFmtId="164" fontId="38" fillId="2" borderId="1" xfId="0" applyNumberFormat="1" applyFont="1" applyFill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right" wrapText="1"/>
    </xf>
    <xf numFmtId="164" fontId="38" fillId="0" borderId="1" xfId="0" applyNumberFormat="1" applyFont="1" applyBorder="1" applyAlignment="1">
      <alignment horizontal="right" vertical="top" wrapText="1"/>
    </xf>
    <xf numFmtId="164" fontId="3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/>
    <xf numFmtId="0" fontId="42" fillId="0" borderId="62" xfId="0" applyFont="1" applyBorder="1"/>
    <xf numFmtId="0" fontId="37" fillId="5" borderId="6" xfId="0" applyFont="1" applyFill="1" applyBorder="1" applyAlignment="1">
      <alignment horizontal="left" vertical="top" wrapText="1"/>
    </xf>
    <xf numFmtId="0" fontId="37" fillId="5" borderId="3" xfId="0" applyFont="1" applyFill="1" applyBorder="1" applyAlignment="1">
      <alignment horizontal="left" vertical="top" wrapText="1"/>
    </xf>
    <xf numFmtId="0" fontId="37" fillId="5" borderId="20" xfId="0" applyFont="1" applyFill="1" applyBorder="1" applyAlignment="1">
      <alignment horizontal="left" vertical="top" wrapText="1"/>
    </xf>
    <xf numFmtId="0" fontId="37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38" fillId="0" borderId="62" xfId="0" applyFont="1" applyBorder="1" applyAlignment="1">
      <alignment horizontal="left"/>
    </xf>
    <xf numFmtId="0" fontId="59" fillId="0" borderId="0" xfId="0" applyFont="1" applyAlignment="1">
      <alignment wrapText="1" shrinkToFit="1"/>
    </xf>
    <xf numFmtId="0" fontId="38" fillId="0" borderId="0" xfId="0" applyFont="1" applyAlignment="1">
      <alignment wrapText="1"/>
    </xf>
    <xf numFmtId="0" fontId="38" fillId="0" borderId="2" xfId="0" applyFont="1" applyBorder="1" applyAlignment="1">
      <alignment horizontal="left" wrapText="1" shrinkToFit="1"/>
    </xf>
    <xf numFmtId="0" fontId="13" fillId="0" borderId="62" xfId="0" applyFont="1" applyBorder="1" applyAlignment="1">
      <alignment wrapText="1" shrinkToFit="1"/>
    </xf>
    <xf numFmtId="0" fontId="13" fillId="0" borderId="0" xfId="0" applyFont="1" applyAlignment="1">
      <alignment wrapText="1" shrinkToFit="1"/>
    </xf>
    <xf numFmtId="0" fontId="37" fillId="0" borderId="5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vertical="top" wrapText="1"/>
    </xf>
    <xf numFmtId="0" fontId="37" fillId="0" borderId="6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20" xfId="0" applyFont="1" applyBorder="1" applyAlignment="1">
      <alignment horizontal="left" vertical="center" wrapText="1"/>
    </xf>
    <xf numFmtId="164" fontId="37" fillId="0" borderId="6" xfId="0" applyNumberFormat="1" applyFont="1" applyBorder="1" applyAlignment="1">
      <alignment horizontal="center" vertical="center" wrapText="1"/>
    </xf>
    <xf numFmtId="164" fontId="37" fillId="0" borderId="3" xfId="0" applyNumberFormat="1" applyFont="1" applyBorder="1" applyAlignment="1">
      <alignment horizontal="center" vertical="center" wrapText="1"/>
    </xf>
    <xf numFmtId="164" fontId="37" fillId="0" borderId="20" xfId="0" applyNumberFormat="1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top" wrapText="1"/>
    </xf>
    <xf numFmtId="0" fontId="38" fillId="0" borderId="3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top" wrapText="1"/>
    </xf>
    <xf numFmtId="0" fontId="38" fillId="0" borderId="0" xfId="0" applyFont="1" applyAlignment="1">
      <alignment horizontal="left" wrapText="1" shrinkToFit="1"/>
    </xf>
    <xf numFmtId="0" fontId="37" fillId="0" borderId="0" xfId="0" applyFont="1" applyAlignment="1">
      <alignment horizontal="left" wrapText="1" shrinkToFit="1"/>
    </xf>
    <xf numFmtId="0" fontId="38" fillId="0" borderId="65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 wrapText="1"/>
    </xf>
    <xf numFmtId="0" fontId="38" fillId="0" borderId="67" xfId="0" applyFont="1" applyBorder="1" applyAlignment="1">
      <alignment horizontal="center" vertical="center" wrapText="1"/>
    </xf>
    <xf numFmtId="0" fontId="38" fillId="3" borderId="89" xfId="0" applyFont="1" applyFill="1" applyBorder="1" applyAlignment="1">
      <alignment horizontal="right" vertical="center" wrapText="1" shrinkToFit="1"/>
    </xf>
    <xf numFmtId="0" fontId="38" fillId="3" borderId="86" xfId="0" applyFont="1" applyFill="1" applyBorder="1" applyAlignment="1">
      <alignment horizontal="right" vertical="center" wrapText="1" shrinkToFit="1"/>
    </xf>
    <xf numFmtId="0" fontId="38" fillId="3" borderId="90" xfId="0" applyFont="1" applyFill="1" applyBorder="1" applyAlignment="1">
      <alignment horizontal="right" vertical="center" wrapText="1" shrinkToFit="1"/>
    </xf>
    <xf numFmtId="0" fontId="37" fillId="5" borderId="6" xfId="0" applyFont="1" applyFill="1" applyBorder="1" applyAlignment="1">
      <alignment horizontal="left" vertical="center" wrapText="1"/>
    </xf>
    <xf numFmtId="0" fontId="37" fillId="5" borderId="3" xfId="0" applyFont="1" applyFill="1" applyBorder="1" applyAlignment="1">
      <alignment horizontal="left" vertical="center" wrapText="1"/>
    </xf>
    <xf numFmtId="0" fontId="37" fillId="5" borderId="20" xfId="0" applyFont="1" applyFill="1" applyBorder="1" applyAlignment="1">
      <alignment horizontal="left" vertical="center" wrapText="1"/>
    </xf>
    <xf numFmtId="164" fontId="45" fillId="0" borderId="32" xfId="0" applyNumberFormat="1" applyFont="1" applyBorder="1" applyAlignment="1">
      <alignment horizontal="right" vertical="center" wrapText="1"/>
    </xf>
    <xf numFmtId="0" fontId="45" fillId="0" borderId="1" xfId="0" applyFont="1" applyBorder="1" applyAlignment="1">
      <alignment horizontal="center" vertical="center" wrapText="1"/>
    </xf>
    <xf numFmtId="164" fontId="45" fillId="0" borderId="1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 wrapText="1" shrinkToFit="1"/>
    </xf>
    <xf numFmtId="0" fontId="40" fillId="0" borderId="80" xfId="0" applyFont="1" applyBorder="1" applyAlignment="1">
      <alignment horizontal="center" vertical="center" wrapText="1" shrinkToFit="1"/>
    </xf>
    <xf numFmtId="0" fontId="37" fillId="0" borderId="50" xfId="0" applyFont="1" applyBorder="1" applyAlignment="1">
      <alignment horizontal="center" vertical="center" wrapText="1" shrinkToFit="1"/>
    </xf>
    <xf numFmtId="0" fontId="37" fillId="0" borderId="51" xfId="0" applyFont="1" applyBorder="1" applyAlignment="1">
      <alignment horizontal="center" vertical="center" wrapText="1" shrinkToFit="1"/>
    </xf>
    <xf numFmtId="0" fontId="37" fillId="0" borderId="81" xfId="0" applyFont="1" applyBorder="1" applyAlignment="1">
      <alignment horizontal="center" vertical="center" wrapText="1" shrinkToFit="1"/>
    </xf>
    <xf numFmtId="0" fontId="37" fillId="0" borderId="82" xfId="0" applyFont="1" applyBorder="1" applyAlignment="1">
      <alignment horizontal="center" vertical="center" wrapText="1" shrinkToFit="1"/>
    </xf>
    <xf numFmtId="0" fontId="37" fillId="0" borderId="83" xfId="0" applyFont="1" applyBorder="1" applyAlignment="1">
      <alignment horizontal="center" vertical="center" wrapText="1" shrinkToFit="1"/>
    </xf>
    <xf numFmtId="0" fontId="37" fillId="0" borderId="84" xfId="0" applyFont="1" applyBorder="1" applyAlignment="1">
      <alignment horizontal="center" vertical="center" wrapText="1" shrinkToFit="1"/>
    </xf>
    <xf numFmtId="0" fontId="37" fillId="0" borderId="85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0" fontId="40" fillId="0" borderId="80" xfId="0" applyFont="1" applyBorder="1" applyAlignment="1">
      <alignment horizontal="center" vertical="center" wrapText="1"/>
    </xf>
    <xf numFmtId="0" fontId="41" fillId="0" borderId="87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37" fillId="0" borderId="81" xfId="0" applyFont="1" applyBorder="1" applyAlignment="1">
      <alignment horizontal="center" vertical="center" wrapText="1"/>
    </xf>
    <xf numFmtId="0" fontId="37" fillId="0" borderId="88" xfId="0" applyFont="1" applyBorder="1" applyAlignment="1">
      <alignment horizontal="center" vertical="center" wrapText="1"/>
    </xf>
    <xf numFmtId="0" fontId="37" fillId="0" borderId="82" xfId="0" applyFont="1" applyBorder="1" applyAlignment="1">
      <alignment horizontal="center" vertical="center" wrapText="1"/>
    </xf>
    <xf numFmtId="0" fontId="37" fillId="0" borderId="83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7" fillId="0" borderId="84" xfId="0" applyFont="1" applyBorder="1" applyAlignment="1">
      <alignment horizontal="center" vertical="center" wrapText="1"/>
    </xf>
    <xf numFmtId="0" fontId="37" fillId="5" borderId="45" xfId="0" applyFont="1" applyFill="1" applyBorder="1" applyAlignment="1">
      <alignment horizontal="left" vertical="center" wrapText="1"/>
    </xf>
    <xf numFmtId="0" fontId="37" fillId="5" borderId="46" xfId="0" applyFont="1" applyFill="1" applyBorder="1" applyAlignment="1">
      <alignment horizontal="left" vertical="center" wrapText="1"/>
    </xf>
    <xf numFmtId="0" fontId="37" fillId="5" borderId="47" xfId="0" applyFont="1" applyFill="1" applyBorder="1" applyAlignment="1">
      <alignment horizontal="left" vertical="center" wrapText="1"/>
    </xf>
    <xf numFmtId="0" fontId="38" fillId="0" borderId="76" xfId="0" applyFont="1" applyBorder="1" applyAlignment="1">
      <alignment horizontal="center" vertical="center" wrapText="1" shrinkToFit="1"/>
    </xf>
    <xf numFmtId="0" fontId="38" fillId="0" borderId="77" xfId="0" applyFont="1" applyBorder="1" applyAlignment="1">
      <alignment horizontal="center" vertical="center" wrapText="1" shrinkToFit="1"/>
    </xf>
    <xf numFmtId="164" fontId="56" fillId="0" borderId="72" xfId="0" applyNumberFormat="1" applyFont="1" applyBorder="1" applyAlignment="1">
      <alignment horizontal="right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center" vertical="center" wrapText="1" shrinkToFit="1"/>
    </xf>
    <xf numFmtId="0" fontId="38" fillId="0" borderId="67" xfId="0" applyFont="1" applyBorder="1" applyAlignment="1">
      <alignment horizontal="center" vertical="center" wrapText="1" shrinkToFit="1"/>
    </xf>
    <xf numFmtId="0" fontId="52" fillId="0" borderId="78" xfId="0" applyFont="1" applyBorder="1" applyAlignment="1">
      <alignment horizontal="right" vertical="center"/>
    </xf>
    <xf numFmtId="0" fontId="52" fillId="0" borderId="79" xfId="0" applyFont="1" applyBorder="1" applyAlignment="1">
      <alignment horizontal="right" vertical="center"/>
    </xf>
    <xf numFmtId="0" fontId="52" fillId="0" borderId="21" xfId="0" applyFont="1" applyBorder="1" applyAlignment="1">
      <alignment horizontal="right" vertical="center"/>
    </xf>
    <xf numFmtId="0" fontId="37" fillId="5" borderId="61" xfId="0" applyFont="1" applyFill="1" applyBorder="1" applyAlignment="1">
      <alignment horizontal="left" vertical="center" wrapText="1"/>
    </xf>
    <xf numFmtId="0" fontId="37" fillId="5" borderId="48" xfId="0" applyFont="1" applyFill="1" applyBorder="1" applyAlignment="1">
      <alignment horizontal="left" vertical="center" wrapText="1"/>
    </xf>
    <xf numFmtId="0" fontId="37" fillId="5" borderId="49" xfId="0" applyFont="1" applyFill="1" applyBorder="1" applyAlignment="1">
      <alignment horizontal="left" vertical="center" wrapText="1"/>
    </xf>
    <xf numFmtId="0" fontId="38" fillId="0" borderId="76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 wrapText="1"/>
    </xf>
    <xf numFmtId="0" fontId="38" fillId="0" borderId="77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 shrinkToFit="1"/>
    </xf>
    <xf numFmtId="0" fontId="38" fillId="0" borderId="20" xfId="0" applyFont="1" applyBorder="1" applyAlignment="1">
      <alignment horizontal="center" vertical="center" wrapText="1" shrinkToFit="1"/>
    </xf>
    <xf numFmtId="0" fontId="45" fillId="0" borderId="32" xfId="0" applyFont="1" applyBorder="1" applyAlignment="1">
      <alignment horizontal="center" vertical="center" wrapText="1"/>
    </xf>
    <xf numFmtId="164" fontId="45" fillId="0" borderId="7" xfId="0" applyNumberFormat="1" applyFont="1" applyBorder="1" applyAlignment="1">
      <alignment horizontal="right" vertical="center" wrapText="1"/>
    </xf>
    <xf numFmtId="0" fontId="37" fillId="0" borderId="7" xfId="0" applyFont="1" applyBorder="1" applyAlignment="1">
      <alignment horizontal="center" vertical="center" wrapText="1"/>
    </xf>
    <xf numFmtId="164" fontId="45" fillId="0" borderId="33" xfId="0" applyNumberFormat="1" applyFont="1" applyBorder="1" applyAlignment="1">
      <alignment horizontal="right" vertical="center" wrapText="1"/>
    </xf>
    <xf numFmtId="164" fontId="55" fillId="0" borderId="72" xfId="0" applyNumberFormat="1" applyFont="1" applyBorder="1" applyAlignment="1">
      <alignment horizontal="right" vertical="center" wrapText="1"/>
    </xf>
    <xf numFmtId="164" fontId="55" fillId="0" borderId="75" xfId="0" applyNumberFormat="1" applyFont="1" applyBorder="1" applyAlignment="1">
      <alignment horizontal="right" vertical="center" wrapText="1"/>
    </xf>
    <xf numFmtId="164" fontId="55" fillId="0" borderId="25" xfId="0" applyNumberFormat="1" applyFont="1" applyBorder="1" applyAlignment="1">
      <alignment horizontal="center" vertical="center" wrapText="1"/>
    </xf>
    <xf numFmtId="9" fontId="37" fillId="0" borderId="25" xfId="0" applyNumberFormat="1" applyFont="1" applyBorder="1" applyAlignment="1">
      <alignment horizontal="center" vertical="center" wrapText="1"/>
    </xf>
    <xf numFmtId="9" fontId="37" fillId="0" borderId="36" xfId="0" applyNumberFormat="1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61" fillId="0" borderId="91" xfId="0" applyFont="1" applyFill="1" applyBorder="1" applyAlignment="1">
      <alignment horizontal="center" vertical="center" wrapText="1"/>
    </xf>
    <xf numFmtId="0" fontId="61" fillId="0" borderId="24" xfId="0" applyFont="1" applyFill="1" applyBorder="1" applyAlignment="1">
      <alignment horizontal="center" vertical="center" wrapText="1"/>
    </xf>
    <xf numFmtId="0" fontId="20" fillId="3" borderId="56" xfId="0" applyFont="1" applyFill="1" applyBorder="1" applyAlignment="1">
      <alignment horizontal="center" vertical="center" wrapText="1"/>
    </xf>
    <xf numFmtId="0" fontId="20" fillId="3" borderId="57" xfId="0" applyFont="1" applyFill="1" applyBorder="1" applyAlignment="1">
      <alignment horizontal="center" vertical="center" wrapText="1"/>
    </xf>
    <xf numFmtId="0" fontId="0" fillId="0" borderId="58" xfId="0" applyBorder="1" applyAlignment="1"/>
    <xf numFmtId="0" fontId="22" fillId="0" borderId="41" xfId="0" applyFont="1" applyFill="1" applyBorder="1" applyAlignment="1">
      <alignment horizontal="center"/>
    </xf>
    <xf numFmtId="0" fontId="61" fillId="0" borderId="12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1" fillId="0" borderId="4" xfId="0" applyFont="1" applyFill="1" applyBorder="1" applyAlignment="1">
      <alignment horizontal="center" vertical="center" wrapText="1"/>
    </xf>
    <xf numFmtId="0" fontId="61" fillId="0" borderId="64" xfId="0" applyFont="1" applyFill="1" applyBorder="1" applyAlignment="1">
      <alignment horizontal="center" vertical="center" wrapText="1"/>
    </xf>
    <xf numFmtId="0" fontId="61" fillId="0" borderId="61" xfId="0" applyFont="1" applyFill="1" applyBorder="1" applyAlignment="1">
      <alignment horizontal="center" vertical="center" wrapText="1"/>
    </xf>
    <xf numFmtId="0" fontId="61" fillId="0" borderId="8" xfId="0" applyFont="1" applyFill="1" applyBorder="1" applyAlignment="1">
      <alignment horizontal="center" vertical="center" wrapText="1"/>
    </xf>
    <xf numFmtId="0" fontId="61" fillId="0" borderId="48" xfId="0" applyFont="1" applyFill="1" applyBorder="1" applyAlignment="1">
      <alignment horizontal="center" wrapText="1"/>
    </xf>
    <xf numFmtId="0" fontId="61" fillId="0" borderId="48" xfId="0" applyFont="1" applyBorder="1" applyAlignment="1">
      <alignment horizontal="center" wrapText="1"/>
    </xf>
    <xf numFmtId="0" fontId="61" fillId="0" borderId="49" xfId="0" applyFont="1" applyBorder="1" applyAlignment="1">
      <alignment horizontal="center" wrapText="1"/>
    </xf>
    <xf numFmtId="49" fontId="69" fillId="0" borderId="1" xfId="0" applyNumberFormat="1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2;&#1083;&#1077;&#1096;&#1082;&#1072;/&#1082;&#1086;&#1084;%20&#1087;&#1110;&#1076;&#1087;&#1088;&#1080;&#1108;&#1084;/&#1050;&#1055;%20&#1042;&#1086;&#1076;&#1086;&#1082;&#1072;&#1085;&#1072;&#1083;/&#1044;&#1086;&#1076;&#1072;&#1090;&#1086;&#1082;%20&#8470;%20795%20&#1092;&#1110;&#1085;.&#1087;&#1083;&#1072;&#1085;%20&#1087;&#1077;&#1088;&#1077;&#1088;&#1086;&#1073;&#1083;&#1077;&#1085;&#1080;&#1081;%20&#1041;&#1083;&#1072;&#1085;&#1082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інплан"/>
      <sheetName val="таблиця 1"/>
      <sheetName val="таблиця 2"/>
      <sheetName val="таблиця 3"/>
      <sheetName val="Таблиця 4"/>
      <sheetName val="Таблиця 5"/>
      <sheetName val="Таблиця 5.1"/>
    </sheetNames>
    <sheetDataSet>
      <sheetData sheetId="0">
        <row r="19">
          <cell r="B19" t="str">
            <v>КП "Водоканал" Овруцької міської ради Житомирської області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1"/>
  <sheetViews>
    <sheetView tabSelected="1" topLeftCell="A121" zoomScale="115" zoomScaleNormal="115" workbookViewId="0">
      <selection activeCell="A10" sqref="A10"/>
    </sheetView>
  </sheetViews>
  <sheetFormatPr defaultRowHeight="15" x14ac:dyDescent="0.2"/>
  <cols>
    <col min="1" max="1" width="56.140625" style="1" customWidth="1"/>
    <col min="2" max="2" width="8.28515625" style="6" bestFit="1" customWidth="1"/>
    <col min="3" max="3" width="13.42578125" style="1" customWidth="1"/>
    <col min="4" max="4" width="11.140625" style="1" customWidth="1"/>
    <col min="5" max="5" width="11.5703125" style="1" customWidth="1"/>
    <col min="6" max="6" width="13.5703125" style="1" customWidth="1"/>
    <col min="7" max="7" width="13.42578125" style="1" customWidth="1"/>
    <col min="8" max="8" width="7" style="1" customWidth="1"/>
    <col min="9" max="9" width="14.140625" style="1" customWidth="1"/>
    <col min="10" max="16384" width="9.140625" style="1"/>
  </cols>
  <sheetData>
    <row r="1" spans="1:18" ht="15.75" x14ac:dyDescent="0.25">
      <c r="E1" s="256" t="s">
        <v>512</v>
      </c>
    </row>
    <row r="2" spans="1:18" ht="15.75" x14ac:dyDescent="0.25">
      <c r="E2" s="256" t="s">
        <v>513</v>
      </c>
    </row>
    <row r="3" spans="1:18" ht="15.75" x14ac:dyDescent="0.25">
      <c r="A3" s="344"/>
      <c r="B3" s="344"/>
      <c r="C3" s="48"/>
      <c r="E3" s="259" t="s">
        <v>413</v>
      </c>
      <c r="F3" s="259"/>
      <c r="G3" s="259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s="9" customFormat="1" ht="11.25" customHeight="1" x14ac:dyDescent="0.2">
      <c r="A4" s="49"/>
      <c r="B4" s="49"/>
      <c r="C4" s="50"/>
      <c r="D4" s="49"/>
      <c r="E4" s="51"/>
      <c r="F4" s="51"/>
      <c r="G4" s="51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1:18" ht="11.25" customHeight="1" x14ac:dyDescent="0.25">
      <c r="A5" s="52"/>
      <c r="B5" s="52"/>
      <c r="C5" s="52"/>
      <c r="D5" s="43"/>
      <c r="E5" s="53"/>
      <c r="F5" s="53"/>
      <c r="G5" s="5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s="9" customFormat="1" ht="11.25" x14ac:dyDescent="0.2">
      <c r="A6" s="343"/>
      <c r="B6" s="343"/>
      <c r="C6" s="50"/>
      <c r="D6" s="258"/>
      <c r="E6" s="257"/>
      <c r="F6" s="257"/>
      <c r="G6" s="257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10.5" customHeight="1" x14ac:dyDescent="0.25">
      <c r="A7" s="343"/>
      <c r="B7" s="343"/>
      <c r="C7" s="54"/>
      <c r="D7" s="258"/>
      <c r="E7" s="257"/>
      <c r="F7" s="257"/>
      <c r="G7" s="257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ht="10.5" customHeight="1" x14ac:dyDescent="0.25">
      <c r="A8" s="46"/>
      <c r="B8" s="46"/>
      <c r="C8" s="54"/>
      <c r="D8" s="247"/>
      <c r="E8" s="247"/>
      <c r="F8" s="247"/>
      <c r="G8" s="247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 ht="10.5" customHeight="1" x14ac:dyDescent="0.25">
      <c r="A9" s="46"/>
      <c r="B9" s="46"/>
      <c r="C9" s="54"/>
      <c r="D9" s="247"/>
      <c r="E9" s="247"/>
      <c r="F9" s="247"/>
      <c r="G9" s="247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" ht="15.75" x14ac:dyDescent="0.25">
      <c r="A10" s="46"/>
      <c r="B10" s="46"/>
      <c r="C10" s="54"/>
      <c r="D10" s="247"/>
      <c r="E10" s="247"/>
      <c r="F10" s="255" t="s">
        <v>408</v>
      </c>
      <c r="G10" s="304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ht="15.75" x14ac:dyDescent="0.25">
      <c r="A11" s="46"/>
      <c r="B11" s="46"/>
      <c r="C11" s="54"/>
      <c r="D11" s="247"/>
      <c r="E11" s="247"/>
      <c r="F11" s="255" t="s">
        <v>409</v>
      </c>
      <c r="G11" s="255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18" ht="15.75" x14ac:dyDescent="0.25">
      <c r="A12" s="46"/>
      <c r="B12" s="303"/>
      <c r="C12" s="54"/>
      <c r="D12" s="247"/>
      <c r="E12" s="247"/>
      <c r="F12" s="255" t="s">
        <v>410</v>
      </c>
      <c r="G12" s="255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spans="1:18" ht="15.75" x14ac:dyDescent="0.25">
      <c r="A13" s="46"/>
      <c r="B13" s="46"/>
      <c r="C13" s="54"/>
      <c r="D13" s="247"/>
      <c r="E13" s="247"/>
      <c r="F13" s="255" t="s">
        <v>411</v>
      </c>
      <c r="G13" s="255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 ht="15.75" x14ac:dyDescent="0.25">
      <c r="A14" s="46"/>
      <c r="B14" s="46"/>
      <c r="C14" s="54"/>
      <c r="D14" s="247"/>
      <c r="E14" s="247"/>
      <c r="F14" s="352" t="s">
        <v>412</v>
      </c>
      <c r="G14" s="35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18" ht="23.25" customHeight="1" x14ac:dyDescent="0.25">
      <c r="A15" s="43"/>
      <c r="B15" s="44"/>
      <c r="C15" s="54"/>
      <c r="D15" s="345"/>
      <c r="E15" s="345"/>
      <c r="F15" s="345"/>
      <c r="G15" s="345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spans="1:18" ht="11.25" customHeight="1" x14ac:dyDescent="0.25">
      <c r="A16" s="46"/>
      <c r="B16" s="246"/>
      <c r="C16" s="55"/>
      <c r="D16" s="55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</row>
    <row r="17" spans="1:18" ht="15.75" x14ac:dyDescent="0.25">
      <c r="A17" s="43"/>
      <c r="B17" s="55"/>
      <c r="C17" s="55"/>
      <c r="D17" s="355"/>
      <c r="E17" s="355"/>
      <c r="F17" s="355"/>
      <c r="G17" s="56" t="s">
        <v>46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spans="1:18" ht="15.75" x14ac:dyDescent="0.25">
      <c r="A18" s="57" t="s">
        <v>13</v>
      </c>
      <c r="B18" s="57"/>
      <c r="C18" s="57"/>
      <c r="D18" s="44"/>
      <c r="E18" s="58"/>
      <c r="F18" s="59" t="s">
        <v>47</v>
      </c>
      <c r="G18" s="60">
        <v>2022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</row>
    <row r="19" spans="1:18" ht="28.5" customHeight="1" x14ac:dyDescent="0.25">
      <c r="A19" s="61" t="s">
        <v>34</v>
      </c>
      <c r="B19" s="350" t="s">
        <v>451</v>
      </c>
      <c r="C19" s="350"/>
      <c r="D19" s="350"/>
      <c r="E19" s="347" t="s">
        <v>14</v>
      </c>
      <c r="F19" s="348"/>
      <c r="G19" s="60">
        <v>40788675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18" ht="15.75" x14ac:dyDescent="0.25">
      <c r="A20" s="62" t="s">
        <v>35</v>
      </c>
      <c r="B20" s="349" t="s">
        <v>459</v>
      </c>
      <c r="C20" s="349"/>
      <c r="D20" s="349"/>
      <c r="E20" s="346" t="s">
        <v>27</v>
      </c>
      <c r="F20" s="346"/>
      <c r="G20" s="60">
        <v>150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</row>
    <row r="21" spans="1:18" ht="15.75" x14ac:dyDescent="0.25">
      <c r="A21" s="64" t="s">
        <v>48</v>
      </c>
      <c r="B21" s="356" t="s">
        <v>455</v>
      </c>
      <c r="C21" s="356"/>
      <c r="D21" s="63"/>
      <c r="E21" s="346" t="s">
        <v>49</v>
      </c>
      <c r="F21" s="346"/>
      <c r="G21" s="60">
        <v>1824210100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18" ht="15.75" x14ac:dyDescent="0.25">
      <c r="A22" s="65" t="s">
        <v>232</v>
      </c>
      <c r="B22" s="351"/>
      <c r="C22" s="351"/>
      <c r="D22" s="351"/>
      <c r="E22" s="346" t="s">
        <v>16</v>
      </c>
      <c r="F22" s="346"/>
      <c r="G22" s="60" t="s">
        <v>452</v>
      </c>
      <c r="H22" s="301" t="s">
        <v>454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ht="15.75" x14ac:dyDescent="0.25">
      <c r="A23" s="65" t="s">
        <v>37</v>
      </c>
      <c r="B23" s="349"/>
      <c r="C23" s="349"/>
      <c r="D23" s="349"/>
      <c r="E23" s="346" t="s">
        <v>15</v>
      </c>
      <c r="F23" s="346"/>
      <c r="G23" s="6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8" ht="15.75" x14ac:dyDescent="0.25">
      <c r="A24" s="66" t="s">
        <v>36</v>
      </c>
      <c r="B24" s="349" t="s">
        <v>456</v>
      </c>
      <c r="C24" s="349"/>
      <c r="D24" s="349"/>
      <c r="E24" s="346" t="s">
        <v>17</v>
      </c>
      <c r="F24" s="346"/>
      <c r="G24" s="60" t="s">
        <v>453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 ht="15.75" x14ac:dyDescent="0.25">
      <c r="A25" s="66" t="s">
        <v>50</v>
      </c>
      <c r="B25" s="354"/>
      <c r="C25" s="354"/>
      <c r="D25" s="354"/>
      <c r="E25" s="346"/>
      <c r="F25" s="346"/>
      <c r="G25" s="60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18" ht="15.75" x14ac:dyDescent="0.25">
      <c r="A26" s="68" t="s">
        <v>32</v>
      </c>
      <c r="B26" s="53" t="s">
        <v>463</v>
      </c>
      <c r="C26" s="69"/>
      <c r="D26" s="69"/>
      <c r="E26" s="69"/>
      <c r="F26" s="69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8" ht="14.25" customHeight="1" x14ac:dyDescent="0.25">
      <c r="A27" s="67" t="s">
        <v>33</v>
      </c>
      <c r="B27" s="302" t="s">
        <v>457</v>
      </c>
      <c r="C27" s="53"/>
      <c r="D27" s="53"/>
      <c r="E27" s="53"/>
      <c r="F27" s="5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ht="15.75" x14ac:dyDescent="0.25">
      <c r="A28" s="68" t="s">
        <v>414</v>
      </c>
      <c r="B28" s="53" t="s">
        <v>458</v>
      </c>
      <c r="C28" s="53"/>
      <c r="D28" s="53"/>
      <c r="E28" s="53"/>
      <c r="F28" s="5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ht="11.25" customHeight="1" x14ac:dyDescent="0.2">
      <c r="A29" s="4"/>
      <c r="B29" s="1"/>
    </row>
    <row r="30" spans="1:18" ht="7.5" customHeight="1" x14ac:dyDescent="0.2">
      <c r="A30" s="4"/>
      <c r="B30" s="1"/>
    </row>
    <row r="31" spans="1:18" ht="18.75" x14ac:dyDescent="0.3">
      <c r="A31" s="336" t="s">
        <v>460</v>
      </c>
      <c r="B31" s="337"/>
      <c r="C31" s="337"/>
      <c r="D31" s="337"/>
      <c r="E31" s="337"/>
      <c r="F31" s="337"/>
      <c r="G31" s="337"/>
    </row>
    <row r="32" spans="1:18" x14ac:dyDescent="0.2">
      <c r="B32" s="2"/>
      <c r="C32" s="2"/>
      <c r="D32" s="2"/>
      <c r="E32" s="2"/>
      <c r="F32" s="2"/>
      <c r="G32" s="2"/>
    </row>
    <row r="33" spans="1:7" ht="14.25" customHeight="1" x14ac:dyDescent="0.25">
      <c r="A33" s="334"/>
      <c r="B33" s="340" t="s">
        <v>38</v>
      </c>
      <c r="C33" s="339" t="s">
        <v>53</v>
      </c>
      <c r="D33" s="341" t="s">
        <v>76</v>
      </c>
      <c r="E33" s="342"/>
      <c r="F33" s="342"/>
      <c r="G33" s="342"/>
    </row>
    <row r="34" spans="1:7" x14ac:dyDescent="0.2">
      <c r="A34" s="335"/>
      <c r="B34" s="340"/>
      <c r="C34" s="339"/>
      <c r="D34" s="42" t="s">
        <v>72</v>
      </c>
      <c r="E34" s="42" t="s">
        <v>73</v>
      </c>
      <c r="F34" s="42" t="s">
        <v>74</v>
      </c>
      <c r="G34" s="42" t="s">
        <v>75</v>
      </c>
    </row>
    <row r="35" spans="1:7" s="10" customFormat="1" ht="15.75" customHeight="1" x14ac:dyDescent="0.2">
      <c r="A35" s="111" t="s">
        <v>342</v>
      </c>
      <c r="B35" s="338"/>
      <c r="C35" s="338"/>
      <c r="D35" s="338"/>
      <c r="E35" s="338"/>
      <c r="F35" s="338"/>
      <c r="G35" s="338"/>
    </row>
    <row r="36" spans="1:7" s="10" customFormat="1" ht="31.5" x14ac:dyDescent="0.25">
      <c r="A36" s="252" t="s">
        <v>341</v>
      </c>
      <c r="B36" s="248" t="s">
        <v>10</v>
      </c>
      <c r="C36" s="143">
        <f t="shared" ref="C36:C42" si="0">D36+E36+F36+G36</f>
        <v>24684.3</v>
      </c>
      <c r="D36" s="144">
        <v>5388.4</v>
      </c>
      <c r="E36" s="144">
        <v>6306.8</v>
      </c>
      <c r="F36" s="144">
        <v>6536.4</v>
      </c>
      <c r="G36" s="144">
        <v>6452.7</v>
      </c>
    </row>
    <row r="37" spans="1:7" s="10" customFormat="1" ht="15.75" x14ac:dyDescent="0.25">
      <c r="A37" s="36" t="s">
        <v>302</v>
      </c>
      <c r="B37" s="248"/>
      <c r="C37" s="143">
        <f t="shared" si="0"/>
        <v>5800.92</v>
      </c>
      <c r="D37" s="144">
        <f>1053*1.2</f>
        <v>1263.5999999999999</v>
      </c>
      <c r="E37" s="144">
        <f>1123.5*1.2</f>
        <v>1348.2</v>
      </c>
      <c r="F37" s="144">
        <f>1405*1.2</f>
        <v>1686</v>
      </c>
      <c r="G37" s="144">
        <f>1252.6*1.2</f>
        <v>1503.12</v>
      </c>
    </row>
    <row r="38" spans="1:7" s="10" customFormat="1" ht="15.75" customHeight="1" x14ac:dyDescent="0.25">
      <c r="A38" s="37" t="s">
        <v>44</v>
      </c>
      <c r="B38" s="249" t="s">
        <v>11</v>
      </c>
      <c r="C38" s="143">
        <f t="shared" si="0"/>
        <v>4114.05</v>
      </c>
      <c r="D38" s="144">
        <f>D36/120*20</f>
        <v>898.06666666666661</v>
      </c>
      <c r="E38" s="144">
        <f>E36/120*20</f>
        <v>1051.1333333333332</v>
      </c>
      <c r="F38" s="144">
        <f>F36/120*20</f>
        <v>1089.4000000000001</v>
      </c>
      <c r="G38" s="144">
        <f>G36/120*20</f>
        <v>1075.45</v>
      </c>
    </row>
    <row r="39" spans="1:7" s="10" customFormat="1" ht="15.75" customHeight="1" x14ac:dyDescent="0.25">
      <c r="A39" s="37" t="s">
        <v>54</v>
      </c>
      <c r="B39" s="249" t="s">
        <v>12</v>
      </c>
      <c r="C39" s="143">
        <f t="shared" si="0"/>
        <v>0</v>
      </c>
      <c r="D39" s="144"/>
      <c r="E39" s="144"/>
      <c r="F39" s="144"/>
      <c r="G39" s="144"/>
    </row>
    <row r="40" spans="1:7" s="10" customFormat="1" ht="15.75" customHeight="1" x14ac:dyDescent="0.25">
      <c r="A40" s="37" t="s">
        <v>303</v>
      </c>
      <c r="B40" s="249" t="s">
        <v>314</v>
      </c>
      <c r="C40" s="143">
        <f t="shared" si="0"/>
        <v>0</v>
      </c>
      <c r="D40" s="144"/>
      <c r="E40" s="144"/>
      <c r="F40" s="144"/>
      <c r="G40" s="144"/>
    </row>
    <row r="41" spans="1:7" s="12" customFormat="1" ht="31.5" x14ac:dyDescent="0.25">
      <c r="A41" s="41" t="s">
        <v>304</v>
      </c>
      <c r="B41" s="249" t="s">
        <v>315</v>
      </c>
      <c r="C41" s="143">
        <f t="shared" si="0"/>
        <v>20570.25</v>
      </c>
      <c r="D41" s="143">
        <f>D36-D38</f>
        <v>4490.333333333333</v>
      </c>
      <c r="E41" s="143">
        <f>E36-E38</f>
        <v>5255.666666666667</v>
      </c>
      <c r="F41" s="143">
        <f>F36-F38</f>
        <v>5447</v>
      </c>
      <c r="G41" s="143">
        <f>G36-G38</f>
        <v>5377.25</v>
      </c>
    </row>
    <row r="42" spans="1:7" s="10" customFormat="1" ht="31.5" x14ac:dyDescent="0.25">
      <c r="A42" s="253" t="s">
        <v>422</v>
      </c>
      <c r="B42" s="249" t="s">
        <v>316</v>
      </c>
      <c r="C42" s="143">
        <f t="shared" si="0"/>
        <v>17281.5</v>
      </c>
      <c r="D42" s="143">
        <f>D44+D45+D46+D47+D48</f>
        <v>3796.6</v>
      </c>
      <c r="E42" s="143">
        <f>E44+E45+E46+E47+E48</f>
        <v>4377.5</v>
      </c>
      <c r="F42" s="143">
        <f>F44+F45+F46+F47+F48</f>
        <v>4608.5</v>
      </c>
      <c r="G42" s="143">
        <f>G44+G45+G46+G47+G48</f>
        <v>4498.9000000000005</v>
      </c>
    </row>
    <row r="43" spans="1:7" s="10" customFormat="1" ht="31.5" x14ac:dyDescent="0.25">
      <c r="A43" s="39" t="s">
        <v>306</v>
      </c>
      <c r="B43" s="249"/>
      <c r="C43" s="143"/>
      <c r="D43" s="144"/>
      <c r="E43" s="144"/>
      <c r="F43" s="144"/>
      <c r="G43" s="144"/>
    </row>
    <row r="44" spans="1:7" s="23" customFormat="1" ht="15.75" x14ac:dyDescent="0.25">
      <c r="A44" s="36" t="s">
        <v>340</v>
      </c>
      <c r="B44" s="249" t="s">
        <v>317</v>
      </c>
      <c r="C44" s="143">
        <f>D44+E44+F44+G44</f>
        <v>6167.1</v>
      </c>
      <c r="D44" s="145">
        <f>1082.6+0.2+13.4</f>
        <v>1096.2</v>
      </c>
      <c r="E44" s="145">
        <f>1465.4+0.3+2</f>
        <v>1467.7</v>
      </c>
      <c r="F44" s="145">
        <f>1815.1+0.3+1.4</f>
        <v>1816.8</v>
      </c>
      <c r="G44" s="145">
        <f>1774.2+0.3+11.9</f>
        <v>1786.4</v>
      </c>
    </row>
    <row r="45" spans="1:7" s="23" customFormat="1" ht="15.75" customHeight="1" x14ac:dyDescent="0.25">
      <c r="A45" s="36" t="s">
        <v>166</v>
      </c>
      <c r="B45" s="249" t="s">
        <v>318</v>
      </c>
      <c r="C45" s="143">
        <f>D45+E45+F45+G45</f>
        <v>6486.2</v>
      </c>
      <c r="D45" s="145">
        <f>1175.3+65.6</f>
        <v>1240.8999999999999</v>
      </c>
      <c r="E45" s="145">
        <f>1598.5+78.7</f>
        <v>1677.2</v>
      </c>
      <c r="F45" s="145">
        <f>1732+78.8</f>
        <v>1810.8</v>
      </c>
      <c r="G45" s="145">
        <f>1678.6+78.7</f>
        <v>1757.3</v>
      </c>
    </row>
    <row r="46" spans="1:7" s="23" customFormat="1" ht="15.75" customHeight="1" x14ac:dyDescent="0.25">
      <c r="A46" s="36" t="s">
        <v>168</v>
      </c>
      <c r="B46" s="249" t="s">
        <v>319</v>
      </c>
      <c r="C46" s="143">
        <f>D46+E46+F46+G46</f>
        <v>1076.2</v>
      </c>
      <c r="D46" s="145">
        <f>247.3+14.2</f>
        <v>261.5</v>
      </c>
      <c r="E46" s="145">
        <f>243.7+17</f>
        <v>260.7</v>
      </c>
      <c r="F46" s="145">
        <f>264.1+17</f>
        <v>281.10000000000002</v>
      </c>
      <c r="G46" s="145">
        <f>255.9+17</f>
        <v>272.89999999999998</v>
      </c>
    </row>
    <row r="47" spans="1:7" s="23" customFormat="1" ht="15.75" customHeight="1" x14ac:dyDescent="0.25">
      <c r="A47" s="36" t="s">
        <v>307</v>
      </c>
      <c r="B47" s="249" t="s">
        <v>320</v>
      </c>
      <c r="C47" s="143">
        <f>D47+E47+F47+G47</f>
        <v>1460</v>
      </c>
      <c r="D47" s="145">
        <f>364.8+0.2</f>
        <v>365</v>
      </c>
      <c r="E47" s="145">
        <f>364.8+0.2</f>
        <v>365</v>
      </c>
      <c r="F47" s="145">
        <f>364.8+0.2</f>
        <v>365</v>
      </c>
      <c r="G47" s="145">
        <f>364.8+0.2</f>
        <v>365</v>
      </c>
    </row>
    <row r="48" spans="1:7" s="23" customFormat="1" ht="15.75" customHeight="1" x14ac:dyDescent="0.25">
      <c r="A48" s="36" t="s">
        <v>308</v>
      </c>
      <c r="B48" s="249" t="s">
        <v>321</v>
      </c>
      <c r="C48" s="143">
        <f>D48+E48+F48+G48</f>
        <v>2092</v>
      </c>
      <c r="D48" s="145">
        <f>824.1+8.9</f>
        <v>833</v>
      </c>
      <c r="E48" s="145">
        <f>10.5+596.4</f>
        <v>606.9</v>
      </c>
      <c r="F48" s="145">
        <f>324.3+10.5</f>
        <v>334.8</v>
      </c>
      <c r="G48" s="145">
        <f>10.5+306.8</f>
        <v>317.3</v>
      </c>
    </row>
    <row r="49" spans="1:7" s="12" customFormat="1" ht="15.75" x14ac:dyDescent="0.25">
      <c r="A49" s="41" t="s">
        <v>309</v>
      </c>
      <c r="B49" s="249"/>
      <c r="C49" s="143"/>
      <c r="D49" s="143"/>
      <c r="E49" s="143"/>
      <c r="F49" s="143"/>
      <c r="G49" s="143"/>
    </row>
    <row r="50" spans="1:7" s="12" customFormat="1" ht="15.75" x14ac:dyDescent="0.25">
      <c r="A50" s="252" t="s">
        <v>310</v>
      </c>
      <c r="B50" s="249" t="s">
        <v>322</v>
      </c>
      <c r="C50" s="143">
        <f>SUM(D50:G50)</f>
        <v>3288.7499999999995</v>
      </c>
      <c r="D50" s="143">
        <f>D41-D42</f>
        <v>693.73333333333312</v>
      </c>
      <c r="E50" s="143">
        <f>E41-E42</f>
        <v>878.16666666666697</v>
      </c>
      <c r="F50" s="143">
        <f>F41-F42</f>
        <v>838.5</v>
      </c>
      <c r="G50" s="143">
        <f>G41-G42</f>
        <v>878.34999999999945</v>
      </c>
    </row>
    <row r="51" spans="1:7" s="12" customFormat="1" ht="15.75" x14ac:dyDescent="0.25">
      <c r="A51" s="252" t="s">
        <v>64</v>
      </c>
      <c r="B51" s="249" t="s">
        <v>323</v>
      </c>
      <c r="C51" s="143"/>
      <c r="D51" s="143"/>
      <c r="E51" s="143"/>
      <c r="F51" s="143"/>
      <c r="G51" s="143"/>
    </row>
    <row r="52" spans="1:7" s="10" customFormat="1" ht="15.75" customHeight="1" x14ac:dyDescent="0.25">
      <c r="A52" s="252" t="s">
        <v>344</v>
      </c>
      <c r="B52" s="249" t="s">
        <v>324</v>
      </c>
      <c r="C52" s="143">
        <f>D52+E52+F52+G52</f>
        <v>1643.2</v>
      </c>
      <c r="D52" s="144">
        <v>410.8</v>
      </c>
      <c r="E52" s="144">
        <v>410.8</v>
      </c>
      <c r="F52" s="144">
        <v>410.8</v>
      </c>
      <c r="G52" s="144">
        <v>410.8</v>
      </c>
    </row>
    <row r="53" spans="1:7" s="10" customFormat="1" ht="15.75" customHeight="1" x14ac:dyDescent="0.25">
      <c r="A53" s="36" t="s">
        <v>311</v>
      </c>
      <c r="B53" s="249" t="s">
        <v>325</v>
      </c>
      <c r="C53" s="143"/>
      <c r="D53" s="144"/>
      <c r="E53" s="144"/>
      <c r="F53" s="144"/>
      <c r="G53" s="144"/>
    </row>
    <row r="54" spans="1:7" s="10" customFormat="1" ht="15.75" customHeight="1" x14ac:dyDescent="0.25">
      <c r="A54" s="36" t="s">
        <v>312</v>
      </c>
      <c r="B54" s="249" t="s">
        <v>326</v>
      </c>
      <c r="C54" s="143"/>
      <c r="D54" s="144"/>
      <c r="E54" s="144"/>
      <c r="F54" s="144"/>
      <c r="G54" s="144"/>
    </row>
    <row r="55" spans="1:7" s="10" customFormat="1" ht="31.5" x14ac:dyDescent="0.25">
      <c r="A55" s="36" t="s">
        <v>313</v>
      </c>
      <c r="B55" s="249" t="s">
        <v>327</v>
      </c>
      <c r="C55" s="143"/>
      <c r="D55" s="144"/>
      <c r="E55" s="144"/>
      <c r="F55" s="144"/>
      <c r="G55" s="144"/>
    </row>
    <row r="56" spans="1:7" s="10" customFormat="1" ht="31.5" x14ac:dyDescent="0.25">
      <c r="A56" s="252" t="s">
        <v>343</v>
      </c>
      <c r="B56" s="249" t="s">
        <v>328</v>
      </c>
      <c r="C56" s="143">
        <f t="shared" ref="C56:C69" si="1">D56+E56+F56+G56</f>
        <v>2703</v>
      </c>
      <c r="D56" s="144">
        <f>D57+D58+D59+D60+D61</f>
        <v>618.90000000000009</v>
      </c>
      <c r="E56" s="144">
        <f>E57+E58+E59+E60+E61</f>
        <v>684.1</v>
      </c>
      <c r="F56" s="144">
        <f>F57+F58+F59+F60+F61</f>
        <v>681.8</v>
      </c>
      <c r="G56" s="144">
        <f>G57+G58+G59+G60+G61</f>
        <v>718.2</v>
      </c>
    </row>
    <row r="57" spans="1:7" s="10" customFormat="1" ht="15.75" x14ac:dyDescent="0.25">
      <c r="A57" s="36" t="s">
        <v>340</v>
      </c>
      <c r="B57" s="249" t="s">
        <v>329</v>
      </c>
      <c r="C57" s="143">
        <f t="shared" si="1"/>
        <v>106.4</v>
      </c>
      <c r="D57" s="144">
        <v>25.8</v>
      </c>
      <c r="E57" s="144">
        <v>24.6</v>
      </c>
      <c r="F57" s="144">
        <v>25.9</v>
      </c>
      <c r="G57" s="144">
        <v>30.1</v>
      </c>
    </row>
    <row r="58" spans="1:7" s="10" customFormat="1" ht="15.75" x14ac:dyDescent="0.25">
      <c r="A58" s="36" t="s">
        <v>166</v>
      </c>
      <c r="B58" s="249" t="s">
        <v>330</v>
      </c>
      <c r="C58" s="143">
        <f t="shared" si="1"/>
        <v>1887.9</v>
      </c>
      <c r="D58" s="144">
        <v>410.4</v>
      </c>
      <c r="E58" s="144">
        <v>492.5</v>
      </c>
      <c r="F58" s="144">
        <v>492.5</v>
      </c>
      <c r="G58" s="144">
        <v>492.5</v>
      </c>
    </row>
    <row r="59" spans="1:7" s="10" customFormat="1" ht="15.75" x14ac:dyDescent="0.25">
      <c r="A59" s="36" t="s">
        <v>168</v>
      </c>
      <c r="B59" s="249" t="s">
        <v>331</v>
      </c>
      <c r="C59" s="143">
        <f t="shared" si="1"/>
        <v>415.2</v>
      </c>
      <c r="D59" s="144">
        <v>90.3</v>
      </c>
      <c r="E59" s="144">
        <v>108.3</v>
      </c>
      <c r="F59" s="144">
        <v>108.3</v>
      </c>
      <c r="G59" s="144">
        <v>108.3</v>
      </c>
    </row>
    <row r="60" spans="1:7" s="10" customFormat="1" ht="15.75" x14ac:dyDescent="0.25">
      <c r="A60" s="36" t="s">
        <v>307</v>
      </c>
      <c r="B60" s="249" t="s">
        <v>332</v>
      </c>
      <c r="C60" s="143">
        <f t="shared" si="1"/>
        <v>12.8</v>
      </c>
      <c r="D60" s="144">
        <v>3.2</v>
      </c>
      <c r="E60" s="144">
        <v>3.2</v>
      </c>
      <c r="F60" s="144">
        <v>3.2</v>
      </c>
      <c r="G60" s="144">
        <v>3.2</v>
      </c>
    </row>
    <row r="61" spans="1:7" s="10" customFormat="1" ht="15.75" customHeight="1" x14ac:dyDescent="0.25">
      <c r="A61" s="36" t="s">
        <v>308</v>
      </c>
      <c r="B61" s="249" t="s">
        <v>333</v>
      </c>
      <c r="C61" s="143">
        <f t="shared" si="1"/>
        <v>280.7</v>
      </c>
      <c r="D61" s="144">
        <v>89.2</v>
      </c>
      <c r="E61" s="144">
        <v>55.5</v>
      </c>
      <c r="F61" s="144">
        <v>51.9</v>
      </c>
      <c r="G61" s="144">
        <v>84.1</v>
      </c>
    </row>
    <row r="62" spans="1:7" s="10" customFormat="1" ht="15.75" customHeight="1" x14ac:dyDescent="0.25">
      <c r="A62" s="252" t="s">
        <v>345</v>
      </c>
      <c r="B62" s="249" t="s">
        <v>334</v>
      </c>
      <c r="C62" s="143">
        <f t="shared" si="1"/>
        <v>1209.3</v>
      </c>
      <c r="D62" s="144">
        <f>D63+D64+D65+D66+D67</f>
        <v>262.59999999999997</v>
      </c>
      <c r="E62" s="144">
        <f>E63+E64+E65+E66+E67</f>
        <v>317.3</v>
      </c>
      <c r="F62" s="144">
        <f>F63+F64+F65+F66+F67</f>
        <v>315.2</v>
      </c>
      <c r="G62" s="144">
        <f>G63+G64+G65+G66+G67</f>
        <v>314.2</v>
      </c>
    </row>
    <row r="63" spans="1:7" s="10" customFormat="1" ht="15.75" customHeight="1" x14ac:dyDescent="0.25">
      <c r="A63" s="36" t="s">
        <v>340</v>
      </c>
      <c r="B63" s="249" t="s">
        <v>335</v>
      </c>
      <c r="C63" s="143">
        <f t="shared" si="1"/>
        <v>9.8000000000000007</v>
      </c>
      <c r="D63" s="144">
        <v>0.6</v>
      </c>
      <c r="E63" s="144">
        <v>5.9</v>
      </c>
      <c r="F63" s="144">
        <v>0.6</v>
      </c>
      <c r="G63" s="144">
        <v>2.7</v>
      </c>
    </row>
    <row r="64" spans="1:7" s="10" customFormat="1" ht="15.75" customHeight="1" x14ac:dyDescent="0.25">
      <c r="A64" s="36" t="s">
        <v>166</v>
      </c>
      <c r="B64" s="249" t="s">
        <v>336</v>
      </c>
      <c r="C64" s="143">
        <f t="shared" si="1"/>
        <v>882.59999999999991</v>
      </c>
      <c r="D64" s="144">
        <v>191.9</v>
      </c>
      <c r="E64" s="144">
        <v>230.2</v>
      </c>
      <c r="F64" s="144">
        <v>230.2</v>
      </c>
      <c r="G64" s="144">
        <v>230.3</v>
      </c>
    </row>
    <row r="65" spans="1:7" s="10" customFormat="1" ht="15.75" customHeight="1" x14ac:dyDescent="0.25">
      <c r="A65" s="36" t="s">
        <v>168</v>
      </c>
      <c r="B65" s="249" t="s">
        <v>337</v>
      </c>
      <c r="C65" s="143">
        <f t="shared" si="1"/>
        <v>187.4</v>
      </c>
      <c r="D65" s="144">
        <v>40.700000000000003</v>
      </c>
      <c r="E65" s="144">
        <v>48.9</v>
      </c>
      <c r="F65" s="144">
        <v>48.9</v>
      </c>
      <c r="G65" s="144">
        <v>48.9</v>
      </c>
    </row>
    <row r="66" spans="1:7" s="10" customFormat="1" ht="15.75" customHeight="1" x14ac:dyDescent="0.25">
      <c r="A66" s="36" t="s">
        <v>307</v>
      </c>
      <c r="B66" s="249" t="s">
        <v>338</v>
      </c>
      <c r="C66" s="143">
        <f t="shared" si="1"/>
        <v>0</v>
      </c>
      <c r="D66" s="144">
        <v>0</v>
      </c>
      <c r="E66" s="144">
        <v>0</v>
      </c>
      <c r="F66" s="144">
        <v>0</v>
      </c>
      <c r="G66" s="144">
        <v>0</v>
      </c>
    </row>
    <row r="67" spans="1:7" s="10" customFormat="1" ht="15.75" customHeight="1" x14ac:dyDescent="0.25">
      <c r="A67" s="36" t="s">
        <v>308</v>
      </c>
      <c r="B67" s="249" t="s">
        <v>339</v>
      </c>
      <c r="C67" s="143">
        <f t="shared" si="1"/>
        <v>129.5</v>
      </c>
      <c r="D67" s="144">
        <v>29.4</v>
      </c>
      <c r="E67" s="144">
        <v>32.299999999999997</v>
      </c>
      <c r="F67" s="144">
        <v>35.5</v>
      </c>
      <c r="G67" s="144">
        <v>32.299999999999997</v>
      </c>
    </row>
    <row r="68" spans="1:7" s="10" customFormat="1" ht="31.5" x14ac:dyDescent="0.25">
      <c r="A68" s="252" t="s">
        <v>346</v>
      </c>
      <c r="B68" s="249" t="s">
        <v>347</v>
      </c>
      <c r="C68" s="143">
        <f t="shared" si="1"/>
        <v>506.59999999999997</v>
      </c>
      <c r="D68" s="144">
        <f>D69+D70+D71+D72+D73</f>
        <v>124.5</v>
      </c>
      <c r="E68" s="144">
        <f>E69+E70+E71+E72+E73</f>
        <v>126.5</v>
      </c>
      <c r="F68" s="144">
        <f>F69+F70+F71+F72+F73</f>
        <v>122.7</v>
      </c>
      <c r="G68" s="144">
        <f>G69+G70+G71+G72+G73</f>
        <v>132.89999999999998</v>
      </c>
    </row>
    <row r="69" spans="1:7" s="10" customFormat="1" ht="15.75" customHeight="1" x14ac:dyDescent="0.25">
      <c r="A69" s="36" t="s">
        <v>340</v>
      </c>
      <c r="B69" s="249" t="s">
        <v>348</v>
      </c>
      <c r="C69" s="143">
        <f t="shared" si="1"/>
        <v>67</v>
      </c>
      <c r="D69" s="144">
        <v>14.6</v>
      </c>
      <c r="E69" s="144">
        <v>16.600000000000001</v>
      </c>
      <c r="F69" s="144">
        <v>12.8</v>
      </c>
      <c r="G69" s="144">
        <v>23</v>
      </c>
    </row>
    <row r="70" spans="1:7" s="10" customFormat="1" ht="15.75" customHeight="1" x14ac:dyDescent="0.25">
      <c r="A70" s="36" t="s">
        <v>166</v>
      </c>
      <c r="B70" s="249" t="s">
        <v>349</v>
      </c>
      <c r="C70" s="143">
        <f t="shared" ref="C70:C76" si="2">D70+E70+F70+G70</f>
        <v>340</v>
      </c>
      <c r="D70" s="144">
        <v>85</v>
      </c>
      <c r="E70" s="144">
        <v>85</v>
      </c>
      <c r="F70" s="144">
        <v>85</v>
      </c>
      <c r="G70" s="144">
        <v>85</v>
      </c>
    </row>
    <row r="71" spans="1:7" s="10" customFormat="1" ht="15.75" customHeight="1" x14ac:dyDescent="0.25">
      <c r="A71" s="36" t="s">
        <v>168</v>
      </c>
      <c r="B71" s="249" t="s">
        <v>350</v>
      </c>
      <c r="C71" s="143">
        <f t="shared" si="2"/>
        <v>96.8</v>
      </c>
      <c r="D71" s="144">
        <v>24.2</v>
      </c>
      <c r="E71" s="144">
        <v>24.2</v>
      </c>
      <c r="F71" s="144">
        <v>24.2</v>
      </c>
      <c r="G71" s="144">
        <v>24.2</v>
      </c>
    </row>
    <row r="72" spans="1:7" s="10" customFormat="1" ht="15.75" customHeight="1" x14ac:dyDescent="0.25">
      <c r="A72" s="36" t="s">
        <v>307</v>
      </c>
      <c r="B72" s="249" t="s">
        <v>351</v>
      </c>
      <c r="C72" s="143">
        <f t="shared" si="2"/>
        <v>0</v>
      </c>
      <c r="D72" s="144">
        <v>0</v>
      </c>
      <c r="E72" s="144">
        <v>0</v>
      </c>
      <c r="F72" s="144">
        <v>0</v>
      </c>
      <c r="G72" s="144">
        <v>0</v>
      </c>
    </row>
    <row r="73" spans="1:7" s="10" customFormat="1" ht="15.75" customHeight="1" x14ac:dyDescent="0.25">
      <c r="A73" s="36" t="s">
        <v>308</v>
      </c>
      <c r="B73" s="249" t="s">
        <v>352</v>
      </c>
      <c r="C73" s="143">
        <f t="shared" si="2"/>
        <v>2.8</v>
      </c>
      <c r="D73" s="144">
        <v>0.7</v>
      </c>
      <c r="E73" s="144">
        <v>0.7</v>
      </c>
      <c r="F73" s="144">
        <v>0.7</v>
      </c>
      <c r="G73" s="144">
        <v>0.7</v>
      </c>
    </row>
    <row r="74" spans="1:7" s="10" customFormat="1" ht="15.75" customHeight="1" x14ac:dyDescent="0.25">
      <c r="A74" s="251" t="s">
        <v>353</v>
      </c>
      <c r="B74" s="249"/>
      <c r="C74" s="143"/>
      <c r="D74" s="144"/>
      <c r="E74" s="144"/>
      <c r="F74" s="144"/>
      <c r="G74" s="144"/>
    </row>
    <row r="75" spans="1:7" s="10" customFormat="1" ht="15.75" customHeight="1" x14ac:dyDescent="0.25">
      <c r="A75" s="36" t="s">
        <v>310</v>
      </c>
      <c r="B75" s="249" t="s">
        <v>358</v>
      </c>
      <c r="C75" s="143">
        <f t="shared" si="2"/>
        <v>513.04999999999927</v>
      </c>
      <c r="D75" s="144">
        <f>D50+D52-D56-D62-D68</f>
        <v>98.533333333333019</v>
      </c>
      <c r="E75" s="144">
        <f>E50+E52-E56-E62-E68</f>
        <v>161.06666666666689</v>
      </c>
      <c r="F75" s="144">
        <f>F50+F52-F56-F62-F68</f>
        <v>129.60000000000002</v>
      </c>
      <c r="G75" s="144">
        <f>G50+G52-G56-G62-G68</f>
        <v>123.8499999999994</v>
      </c>
    </row>
    <row r="76" spans="1:7" s="10" customFormat="1" ht="15.75" customHeight="1" x14ac:dyDescent="0.25">
      <c r="A76" s="36" t="s">
        <v>64</v>
      </c>
      <c r="B76" s="249" t="s">
        <v>359</v>
      </c>
      <c r="C76" s="143">
        <f t="shared" si="2"/>
        <v>0</v>
      </c>
      <c r="D76" s="144"/>
      <c r="E76" s="144"/>
      <c r="F76" s="144"/>
      <c r="G76" s="144"/>
    </row>
    <row r="77" spans="1:7" s="10" customFormat="1" ht="15.75" customHeight="1" x14ac:dyDescent="0.25">
      <c r="A77" s="38" t="s">
        <v>158</v>
      </c>
      <c r="B77" s="249" t="s">
        <v>360</v>
      </c>
      <c r="C77" s="143"/>
      <c r="D77" s="144"/>
      <c r="E77" s="144"/>
      <c r="F77" s="144"/>
      <c r="G77" s="144"/>
    </row>
    <row r="78" spans="1:7" s="10" customFormat="1" ht="15.75" customHeight="1" x14ac:dyDescent="0.25">
      <c r="A78" s="38" t="s">
        <v>159</v>
      </c>
      <c r="B78" s="249" t="s">
        <v>361</v>
      </c>
      <c r="C78" s="143"/>
      <c r="D78" s="144"/>
      <c r="E78" s="144"/>
      <c r="F78" s="144"/>
      <c r="G78" s="144"/>
    </row>
    <row r="79" spans="1:7" s="10" customFormat="1" ht="15.75" customHeight="1" x14ac:dyDescent="0.25">
      <c r="A79" s="254" t="s">
        <v>305</v>
      </c>
      <c r="B79" s="249" t="s">
        <v>362</v>
      </c>
      <c r="C79" s="143"/>
      <c r="D79" s="143"/>
      <c r="E79" s="143"/>
      <c r="F79" s="143"/>
      <c r="G79" s="143"/>
    </row>
    <row r="80" spans="1:7" s="10" customFormat="1" ht="15.75" customHeight="1" x14ac:dyDescent="0.25">
      <c r="A80" s="38" t="s">
        <v>255</v>
      </c>
      <c r="B80" s="249"/>
      <c r="C80" s="143"/>
      <c r="D80" s="144"/>
      <c r="E80" s="144"/>
      <c r="F80" s="144"/>
      <c r="G80" s="144"/>
    </row>
    <row r="81" spans="1:7" s="10" customFormat="1" ht="15.75" customHeight="1" x14ac:dyDescent="0.25">
      <c r="A81" s="38" t="s">
        <v>354</v>
      </c>
      <c r="B81" s="249" t="s">
        <v>356</v>
      </c>
      <c r="C81" s="143"/>
      <c r="D81" s="144"/>
      <c r="E81" s="144"/>
      <c r="F81" s="144"/>
      <c r="G81" s="144"/>
    </row>
    <row r="82" spans="1:7" s="10" customFormat="1" ht="15.75" customHeight="1" x14ac:dyDescent="0.25">
      <c r="A82" s="38" t="s">
        <v>355</v>
      </c>
      <c r="B82" s="249" t="s">
        <v>357</v>
      </c>
      <c r="C82" s="143"/>
      <c r="D82" s="144"/>
      <c r="E82" s="144"/>
      <c r="F82" s="144"/>
      <c r="G82" s="144"/>
    </row>
    <row r="83" spans="1:7" s="10" customFormat="1" ht="15.75" x14ac:dyDescent="0.25">
      <c r="A83" s="38" t="s">
        <v>199</v>
      </c>
      <c r="B83" s="249" t="s">
        <v>363</v>
      </c>
      <c r="C83" s="143"/>
      <c r="D83" s="144"/>
      <c r="E83" s="144"/>
      <c r="F83" s="144"/>
      <c r="G83" s="144"/>
    </row>
    <row r="84" spans="1:7" s="10" customFormat="1" ht="15.75" x14ac:dyDescent="0.25">
      <c r="A84" s="38" t="s">
        <v>200</v>
      </c>
      <c r="B84" s="249" t="s">
        <v>368</v>
      </c>
      <c r="C84" s="143"/>
      <c r="D84" s="144"/>
      <c r="E84" s="144"/>
      <c r="F84" s="144"/>
      <c r="G84" s="144"/>
    </row>
    <row r="85" spans="1:7" s="10" customFormat="1" ht="15.75" x14ac:dyDescent="0.25">
      <c r="A85" s="254" t="s">
        <v>201</v>
      </c>
      <c r="B85" s="249" t="s">
        <v>369</v>
      </c>
      <c r="C85" s="143"/>
      <c r="D85" s="144"/>
      <c r="E85" s="144"/>
      <c r="F85" s="144"/>
      <c r="G85" s="144"/>
    </row>
    <row r="86" spans="1:7" s="10" customFormat="1" ht="31.5" x14ac:dyDescent="0.25">
      <c r="A86" s="254" t="s">
        <v>364</v>
      </c>
      <c r="B86" s="249"/>
      <c r="C86" s="143"/>
      <c r="D86" s="144"/>
      <c r="E86" s="144"/>
      <c r="F86" s="144"/>
      <c r="G86" s="144"/>
    </row>
    <row r="87" spans="1:7" s="10" customFormat="1" ht="15.75" x14ac:dyDescent="0.25">
      <c r="A87" s="38" t="s">
        <v>310</v>
      </c>
      <c r="B87" s="249" t="s">
        <v>370</v>
      </c>
      <c r="C87" s="143">
        <f>D87+E87+F87+G87</f>
        <v>513.04999999999927</v>
      </c>
      <c r="D87" s="144">
        <f>D75+D79-D85</f>
        <v>98.533333333333019</v>
      </c>
      <c r="E87" s="144">
        <f>E75+E79-E85</f>
        <v>161.06666666666689</v>
      </c>
      <c r="F87" s="144">
        <f>F75+F79-F85</f>
        <v>129.60000000000002</v>
      </c>
      <c r="G87" s="144">
        <f>G75+G79-G85</f>
        <v>123.8499999999994</v>
      </c>
    </row>
    <row r="88" spans="1:7" s="10" customFormat="1" ht="15.75" x14ac:dyDescent="0.25">
      <c r="A88" s="38" t="s">
        <v>64</v>
      </c>
      <c r="B88" s="249" t="s">
        <v>371</v>
      </c>
      <c r="C88" s="143"/>
      <c r="D88" s="144"/>
      <c r="E88" s="144"/>
      <c r="F88" s="144"/>
      <c r="G88" s="144"/>
    </row>
    <row r="89" spans="1:7" s="10" customFormat="1" ht="15.75" x14ac:dyDescent="0.25">
      <c r="A89" s="38" t="s">
        <v>365</v>
      </c>
      <c r="B89" s="249" t="s">
        <v>372</v>
      </c>
      <c r="C89" s="143">
        <f>D89+E89+F89+G89</f>
        <v>92.348999999999876</v>
      </c>
      <c r="D89" s="144">
        <f>D87*0.18</f>
        <v>17.735999999999944</v>
      </c>
      <c r="E89" s="144">
        <f>E87*0.18</f>
        <v>28.99200000000004</v>
      </c>
      <c r="F89" s="144">
        <f>F87*0.18</f>
        <v>23.328000000000003</v>
      </c>
      <c r="G89" s="144">
        <f>G87*0.18</f>
        <v>22.292999999999889</v>
      </c>
    </row>
    <row r="90" spans="1:7" s="10" customFormat="1" ht="15.75" x14ac:dyDescent="0.25">
      <c r="A90" s="38" t="s">
        <v>366</v>
      </c>
      <c r="B90" s="249"/>
      <c r="C90" s="143"/>
      <c r="D90" s="144"/>
      <c r="E90" s="144"/>
      <c r="F90" s="144"/>
      <c r="G90" s="144"/>
    </row>
    <row r="91" spans="1:7" s="10" customFormat="1" ht="15.75" x14ac:dyDescent="0.25">
      <c r="A91" s="38" t="s">
        <v>310</v>
      </c>
      <c r="B91" s="249" t="s">
        <v>373</v>
      </c>
      <c r="C91" s="143">
        <f>D91+E91+F91+G91</f>
        <v>420.7009999999994</v>
      </c>
      <c r="D91" s="144">
        <f>D87-D89</f>
        <v>80.797333333333071</v>
      </c>
      <c r="E91" s="144">
        <f>E87-E89</f>
        <v>132.07466666666684</v>
      </c>
      <c r="F91" s="144">
        <f>F87-F89</f>
        <v>106.27200000000002</v>
      </c>
      <c r="G91" s="144">
        <f>G87-G89</f>
        <v>101.5569999999995</v>
      </c>
    </row>
    <row r="92" spans="1:7" s="10" customFormat="1" ht="15.75" x14ac:dyDescent="0.25">
      <c r="A92" s="38" t="s">
        <v>64</v>
      </c>
      <c r="B92" s="249" t="s">
        <v>374</v>
      </c>
      <c r="C92" s="143"/>
      <c r="D92" s="144"/>
      <c r="E92" s="144"/>
      <c r="F92" s="144"/>
      <c r="G92" s="144"/>
    </row>
    <row r="93" spans="1:7" s="10" customFormat="1" ht="15.75" x14ac:dyDescent="0.25">
      <c r="A93" s="305" t="s">
        <v>367</v>
      </c>
      <c r="B93" s="249" t="s">
        <v>375</v>
      </c>
      <c r="C93" s="143"/>
      <c r="D93" s="144"/>
      <c r="E93" s="144"/>
      <c r="F93" s="144"/>
      <c r="G93" s="144"/>
    </row>
    <row r="94" spans="1:7" s="10" customFormat="1" ht="15.75" x14ac:dyDescent="0.25">
      <c r="A94" s="254" t="s">
        <v>376</v>
      </c>
      <c r="B94" s="249"/>
      <c r="C94" s="143"/>
      <c r="D94" s="144"/>
      <c r="E94" s="144"/>
      <c r="F94" s="144"/>
      <c r="G94" s="144"/>
    </row>
    <row r="95" spans="1:7" s="10" customFormat="1" ht="15.75" x14ac:dyDescent="0.25">
      <c r="A95" s="36" t="s">
        <v>340</v>
      </c>
      <c r="B95" s="249" t="s">
        <v>386</v>
      </c>
      <c r="C95" s="143">
        <f>D95+E95+F95+G95</f>
        <v>6350.3</v>
      </c>
      <c r="D95" s="144">
        <f t="shared" ref="D95:G99" si="3">D69+D63+D57+D44</f>
        <v>1137.2</v>
      </c>
      <c r="E95" s="144">
        <f t="shared" si="3"/>
        <v>1514.8</v>
      </c>
      <c r="F95" s="144">
        <f t="shared" si="3"/>
        <v>1856.1</v>
      </c>
      <c r="G95" s="144">
        <f t="shared" si="3"/>
        <v>1842.2</v>
      </c>
    </row>
    <row r="96" spans="1:7" s="10" customFormat="1" ht="15.75" x14ac:dyDescent="0.25">
      <c r="A96" s="36" t="s">
        <v>166</v>
      </c>
      <c r="B96" s="249" t="s">
        <v>387</v>
      </c>
      <c r="C96" s="143">
        <f>D96+E96+F96+G96</f>
        <v>9596.7000000000007</v>
      </c>
      <c r="D96" s="144">
        <f t="shared" si="3"/>
        <v>1928.1999999999998</v>
      </c>
      <c r="E96" s="144">
        <f t="shared" si="3"/>
        <v>2484.9</v>
      </c>
      <c r="F96" s="144">
        <f t="shared" si="3"/>
        <v>2618.5</v>
      </c>
      <c r="G96" s="144">
        <f t="shared" si="3"/>
        <v>2565.1</v>
      </c>
    </row>
    <row r="97" spans="1:7" s="10" customFormat="1" ht="15.75" x14ac:dyDescent="0.25">
      <c r="A97" s="36" t="s">
        <v>168</v>
      </c>
      <c r="B97" s="249" t="s">
        <v>388</v>
      </c>
      <c r="C97" s="143">
        <f>D97+E97+F97+G97</f>
        <v>1775.6</v>
      </c>
      <c r="D97" s="144">
        <f t="shared" si="3"/>
        <v>416.7</v>
      </c>
      <c r="E97" s="144">
        <f t="shared" si="3"/>
        <v>442.09999999999997</v>
      </c>
      <c r="F97" s="144">
        <f t="shared" si="3"/>
        <v>462.5</v>
      </c>
      <c r="G97" s="144">
        <f t="shared" si="3"/>
        <v>454.29999999999995</v>
      </c>
    </row>
    <row r="98" spans="1:7" s="10" customFormat="1" ht="15.75" x14ac:dyDescent="0.25">
      <c r="A98" s="36" t="s">
        <v>307</v>
      </c>
      <c r="B98" s="249" t="s">
        <v>389</v>
      </c>
      <c r="C98" s="143">
        <f>D98+E98+F98+G98</f>
        <v>1472.8</v>
      </c>
      <c r="D98" s="144">
        <f t="shared" si="3"/>
        <v>368.2</v>
      </c>
      <c r="E98" s="144">
        <f t="shared" si="3"/>
        <v>368.2</v>
      </c>
      <c r="F98" s="144">
        <f t="shared" si="3"/>
        <v>368.2</v>
      </c>
      <c r="G98" s="144">
        <f t="shared" si="3"/>
        <v>368.2</v>
      </c>
    </row>
    <row r="99" spans="1:7" s="10" customFormat="1" ht="15.75" x14ac:dyDescent="0.25">
      <c r="A99" s="36" t="s">
        <v>308</v>
      </c>
      <c r="B99" s="249" t="s">
        <v>390</v>
      </c>
      <c r="C99" s="143">
        <f>D99+E99+F99+G99</f>
        <v>2505</v>
      </c>
      <c r="D99" s="144">
        <f t="shared" si="3"/>
        <v>952.3</v>
      </c>
      <c r="E99" s="144">
        <f t="shared" si="3"/>
        <v>695.4</v>
      </c>
      <c r="F99" s="144">
        <f t="shared" si="3"/>
        <v>422.9</v>
      </c>
      <c r="G99" s="144">
        <f t="shared" si="3"/>
        <v>434.4</v>
      </c>
    </row>
    <row r="100" spans="1:7" s="10" customFormat="1" ht="15.75" x14ac:dyDescent="0.25">
      <c r="A100" s="38" t="s">
        <v>377</v>
      </c>
      <c r="B100" s="249" t="s">
        <v>391</v>
      </c>
      <c r="C100" s="143">
        <f>SUM(C95:C99)</f>
        <v>21700.399999999998</v>
      </c>
      <c r="D100" s="144">
        <f>SUM(D95:D99)</f>
        <v>4802.5999999999995</v>
      </c>
      <c r="E100" s="144">
        <f>SUM(E95:E99)</f>
        <v>5505.4</v>
      </c>
      <c r="F100" s="144">
        <f>SUM(F95:F99)</f>
        <v>5728.2</v>
      </c>
      <c r="G100" s="144">
        <f>SUM(G95:G99)</f>
        <v>5664.2</v>
      </c>
    </row>
    <row r="101" spans="1:7" s="10" customFormat="1" ht="15.75" x14ac:dyDescent="0.25">
      <c r="A101" s="254" t="s">
        <v>378</v>
      </c>
      <c r="B101" s="249"/>
      <c r="C101" s="143"/>
      <c r="D101" s="144"/>
      <c r="E101" s="144"/>
      <c r="F101" s="144"/>
      <c r="G101" s="144"/>
    </row>
    <row r="102" spans="1:7" s="10" customFormat="1" ht="15.75" x14ac:dyDescent="0.25">
      <c r="A102" s="38" t="s">
        <v>379</v>
      </c>
      <c r="B102" s="249" t="s">
        <v>392</v>
      </c>
      <c r="C102" s="143"/>
      <c r="D102" s="144"/>
      <c r="E102" s="144"/>
      <c r="F102" s="144"/>
      <c r="G102" s="144"/>
    </row>
    <row r="103" spans="1:7" s="10" customFormat="1" ht="15.75" x14ac:dyDescent="0.25">
      <c r="A103" s="38" t="s">
        <v>302</v>
      </c>
      <c r="B103" s="249" t="s">
        <v>393</v>
      </c>
      <c r="C103" s="143"/>
      <c r="D103" s="144"/>
      <c r="E103" s="144"/>
      <c r="F103" s="144"/>
      <c r="G103" s="144"/>
    </row>
    <row r="104" spans="1:7" s="10" customFormat="1" ht="31.5" x14ac:dyDescent="0.25">
      <c r="A104" s="38" t="s">
        <v>380</v>
      </c>
      <c r="B104" s="249" t="s">
        <v>394</v>
      </c>
      <c r="C104" s="143">
        <f>D104+E104+F104+G104</f>
        <v>1873.3333333333333</v>
      </c>
      <c r="D104" s="144">
        <f>D105</f>
        <v>717.5</v>
      </c>
      <c r="E104" s="144">
        <f>E105</f>
        <v>385</v>
      </c>
      <c r="F104" s="144">
        <f>F105</f>
        <v>385</v>
      </c>
      <c r="G104" s="144">
        <f>G105</f>
        <v>385.83333333333331</v>
      </c>
    </row>
    <row r="105" spans="1:7" s="10" customFormat="1" ht="15.75" x14ac:dyDescent="0.25">
      <c r="A105" s="38" t="s">
        <v>302</v>
      </c>
      <c r="B105" s="249" t="s">
        <v>395</v>
      </c>
      <c r="C105" s="143">
        <f>D105+E105+F105+G105</f>
        <v>1873.3333333333333</v>
      </c>
      <c r="D105" s="144">
        <f>861/120*100</f>
        <v>717.5</v>
      </c>
      <c r="E105" s="144">
        <f>462/120*100</f>
        <v>385</v>
      </c>
      <c r="F105" s="144">
        <f>462/120*100</f>
        <v>385</v>
      </c>
      <c r="G105" s="144">
        <f>463/120*100</f>
        <v>385.83333333333331</v>
      </c>
    </row>
    <row r="106" spans="1:7" s="10" customFormat="1" ht="15.75" x14ac:dyDescent="0.25">
      <c r="A106" s="38" t="s">
        <v>381</v>
      </c>
      <c r="B106" s="249" t="s">
        <v>396</v>
      </c>
      <c r="C106" s="143"/>
      <c r="D106" s="144"/>
      <c r="E106" s="144"/>
      <c r="F106" s="144"/>
      <c r="G106" s="144"/>
    </row>
    <row r="107" spans="1:7" s="10" customFormat="1" ht="15.75" x14ac:dyDescent="0.25">
      <c r="A107" s="38" t="s">
        <v>302</v>
      </c>
      <c r="B107" s="249" t="s">
        <v>397</v>
      </c>
      <c r="C107" s="143"/>
      <c r="D107" s="144"/>
      <c r="E107" s="144"/>
      <c r="F107" s="144"/>
      <c r="G107" s="144"/>
    </row>
    <row r="108" spans="1:7" s="10" customFormat="1" ht="16.5" customHeight="1" x14ac:dyDescent="0.25">
      <c r="A108" s="38" t="s">
        <v>382</v>
      </c>
      <c r="B108" s="249" t="s">
        <v>398</v>
      </c>
      <c r="C108" s="143"/>
      <c r="D108" s="144"/>
      <c r="E108" s="144"/>
      <c r="F108" s="144"/>
      <c r="G108" s="144"/>
    </row>
    <row r="109" spans="1:7" s="10" customFormat="1" ht="15.75" x14ac:dyDescent="0.25">
      <c r="A109" s="38" t="s">
        <v>302</v>
      </c>
      <c r="B109" s="249" t="s">
        <v>399</v>
      </c>
      <c r="C109" s="143"/>
      <c r="D109" s="144"/>
      <c r="E109" s="144"/>
      <c r="F109" s="144"/>
      <c r="G109" s="144"/>
    </row>
    <row r="110" spans="1:7" s="10" customFormat="1" ht="47.25" x14ac:dyDescent="0.25">
      <c r="A110" s="38" t="s">
        <v>383</v>
      </c>
      <c r="B110" s="249" t="s">
        <v>400</v>
      </c>
      <c r="C110" s="143"/>
      <c r="D110" s="144"/>
      <c r="E110" s="144"/>
      <c r="F110" s="144"/>
      <c r="G110" s="144"/>
    </row>
    <row r="111" spans="1:7" s="10" customFormat="1" ht="15.75" x14ac:dyDescent="0.25">
      <c r="A111" s="38" t="s">
        <v>302</v>
      </c>
      <c r="B111" s="249" t="s">
        <v>401</v>
      </c>
      <c r="C111" s="143"/>
      <c r="D111" s="144"/>
      <c r="E111" s="144"/>
      <c r="F111" s="144"/>
      <c r="G111" s="144"/>
    </row>
    <row r="112" spans="1:7" s="10" customFormat="1" ht="15.75" x14ac:dyDescent="0.25">
      <c r="A112" s="38" t="s">
        <v>384</v>
      </c>
      <c r="B112" s="249" t="s">
        <v>402</v>
      </c>
      <c r="C112" s="143">
        <f>C102+C104+C106+C108+C110</f>
        <v>1873.3333333333333</v>
      </c>
      <c r="D112" s="144">
        <f>D102+D104+D106+D108+D110</f>
        <v>717.5</v>
      </c>
      <c r="E112" s="144">
        <f>E102+E104+E106+E108+E110</f>
        <v>385</v>
      </c>
      <c r="F112" s="144">
        <f>F102+F104+F106+F108+F110</f>
        <v>385</v>
      </c>
      <c r="G112" s="144">
        <f>G102+G104+G106+G108+G110</f>
        <v>385.83333333333331</v>
      </c>
    </row>
    <row r="113" spans="1:9" s="10" customFormat="1" ht="31.5" x14ac:dyDescent="0.25">
      <c r="A113" s="38" t="s">
        <v>385</v>
      </c>
      <c r="B113" s="249" t="s">
        <v>403</v>
      </c>
      <c r="C113" s="333">
        <f>C112</f>
        <v>1873.3333333333333</v>
      </c>
      <c r="D113" s="144">
        <f>D112</f>
        <v>717.5</v>
      </c>
      <c r="E113" s="144">
        <f>E112</f>
        <v>385</v>
      </c>
      <c r="F113" s="144">
        <f>F112</f>
        <v>385</v>
      </c>
      <c r="G113" s="144">
        <f>G112</f>
        <v>385.83333333333331</v>
      </c>
    </row>
    <row r="114" spans="1:9" s="10" customFormat="1" ht="15.75" x14ac:dyDescent="0.25">
      <c r="A114" s="254" t="s">
        <v>404</v>
      </c>
      <c r="B114" s="249"/>
      <c r="C114" s="143"/>
      <c r="D114" s="144"/>
      <c r="E114" s="144"/>
      <c r="F114" s="144"/>
      <c r="G114" s="144"/>
    </row>
    <row r="115" spans="1:9" s="10" customFormat="1" ht="15.75" x14ac:dyDescent="0.25">
      <c r="A115" s="38" t="s">
        <v>51</v>
      </c>
      <c r="B115" s="249" t="s">
        <v>415</v>
      </c>
      <c r="C115" s="143">
        <v>67</v>
      </c>
      <c r="D115" s="144">
        <v>67</v>
      </c>
      <c r="E115" s="144">
        <v>67</v>
      </c>
      <c r="F115" s="144">
        <v>67</v>
      </c>
      <c r="G115" s="144">
        <v>67</v>
      </c>
    </row>
    <row r="116" spans="1:9" s="10" customFormat="1" ht="15.75" x14ac:dyDescent="0.25">
      <c r="A116" s="305" t="s">
        <v>405</v>
      </c>
      <c r="B116" s="249" t="s">
        <v>416</v>
      </c>
      <c r="C116" s="333">
        <v>22996.5</v>
      </c>
      <c r="D116" s="333">
        <v>22996.5</v>
      </c>
      <c r="E116" s="333">
        <v>22996.5</v>
      </c>
      <c r="F116" s="333">
        <v>22996.5</v>
      </c>
      <c r="G116" s="333">
        <v>22996.5</v>
      </c>
    </row>
    <row r="117" spans="1:9" s="10" customFormat="1" ht="15.75" x14ac:dyDescent="0.25">
      <c r="A117" s="38" t="s">
        <v>406</v>
      </c>
      <c r="B117" s="249" t="s">
        <v>417</v>
      </c>
      <c r="C117" s="143">
        <v>0</v>
      </c>
      <c r="D117" s="144">
        <v>0</v>
      </c>
      <c r="E117" s="144">
        <v>0</v>
      </c>
      <c r="F117" s="144">
        <v>0</v>
      </c>
      <c r="G117" s="144">
        <v>0</v>
      </c>
    </row>
    <row r="118" spans="1:9" s="10" customFormat="1" ht="31.5" x14ac:dyDescent="0.25">
      <c r="A118" s="38" t="s">
        <v>407</v>
      </c>
      <c r="B118" s="249" t="s">
        <v>418</v>
      </c>
      <c r="C118" s="143">
        <v>0</v>
      </c>
      <c r="D118" s="144">
        <v>0</v>
      </c>
      <c r="E118" s="144">
        <v>0</v>
      </c>
      <c r="F118" s="144">
        <v>0</v>
      </c>
      <c r="G118" s="144">
        <v>0</v>
      </c>
    </row>
    <row r="119" spans="1:9" x14ac:dyDescent="0.2">
      <c r="B119" s="250"/>
    </row>
    <row r="120" spans="1:9" x14ac:dyDescent="0.2">
      <c r="B120" s="1"/>
      <c r="C120" s="11"/>
      <c r="D120" s="11"/>
      <c r="E120" s="11"/>
      <c r="F120" s="11"/>
      <c r="G120" s="11"/>
    </row>
    <row r="121" spans="1:9" s="20" customFormat="1" ht="15.75" x14ac:dyDescent="0.25">
      <c r="A121" s="27" t="s">
        <v>414</v>
      </c>
      <c r="B121" s="264"/>
      <c r="C121" s="264"/>
      <c r="D121" s="29"/>
      <c r="E121" s="29"/>
      <c r="F121" s="263" t="s">
        <v>461</v>
      </c>
      <c r="G121" s="265"/>
      <c r="H121" s="262"/>
      <c r="I121" s="262"/>
    </row>
    <row r="122" spans="1:9" s="20" customFormat="1" ht="15.75" x14ac:dyDescent="0.25">
      <c r="A122" s="28"/>
      <c r="B122" s="29"/>
      <c r="C122" s="29" t="s">
        <v>420</v>
      </c>
      <c r="D122" s="29"/>
      <c r="E122" s="29"/>
      <c r="F122" s="261" t="s">
        <v>421</v>
      </c>
      <c r="G122" s="261"/>
      <c r="H122" s="261"/>
      <c r="I122" s="260"/>
    </row>
    <row r="123" spans="1:9" x14ac:dyDescent="0.2">
      <c r="B123" s="8"/>
    </row>
    <row r="124" spans="1:9" ht="15.75" x14ac:dyDescent="0.25">
      <c r="A124" s="27" t="s">
        <v>419</v>
      </c>
      <c r="B124" s="263"/>
      <c r="C124" s="263"/>
      <c r="D124" s="27"/>
      <c r="E124" s="27"/>
      <c r="F124" s="263" t="s">
        <v>462</v>
      </c>
      <c r="G124" s="263"/>
    </row>
    <row r="125" spans="1:9" ht="15.75" x14ac:dyDescent="0.25">
      <c r="A125" s="27"/>
      <c r="B125" s="27"/>
      <c r="C125" s="266" t="s">
        <v>420</v>
      </c>
      <c r="D125" s="27"/>
      <c r="E125" s="27"/>
      <c r="F125" s="267" t="s">
        <v>421</v>
      </c>
      <c r="G125" s="27"/>
    </row>
    <row r="126" spans="1:9" x14ac:dyDescent="0.2">
      <c r="A126" s="7"/>
      <c r="B126" s="8"/>
    </row>
    <row r="127" spans="1:9" x14ac:dyDescent="0.2">
      <c r="A127" s="7"/>
      <c r="B127" s="8"/>
    </row>
    <row r="128" spans="1:9" x14ac:dyDescent="0.2">
      <c r="A128" s="7" t="s">
        <v>510</v>
      </c>
      <c r="B128" s="8"/>
      <c r="E128" s="1" t="s">
        <v>511</v>
      </c>
    </row>
    <row r="129" spans="1:2" x14ac:dyDescent="0.2">
      <c r="A129" s="7"/>
      <c r="B129" s="8"/>
    </row>
    <row r="130" spans="1:2" x14ac:dyDescent="0.2">
      <c r="A130" s="7"/>
      <c r="B130" s="8"/>
    </row>
    <row r="131" spans="1:2" x14ac:dyDescent="0.2">
      <c r="A131" s="7"/>
      <c r="B131" s="8"/>
    </row>
    <row r="132" spans="1:2" x14ac:dyDescent="0.2">
      <c r="A132" s="7"/>
      <c r="B132" s="8"/>
    </row>
    <row r="133" spans="1:2" x14ac:dyDescent="0.2">
      <c r="A133" s="7"/>
      <c r="B133" s="8"/>
    </row>
    <row r="134" spans="1:2" x14ac:dyDescent="0.2">
      <c r="A134" s="7"/>
      <c r="B134" s="8"/>
    </row>
    <row r="135" spans="1:2" x14ac:dyDescent="0.2">
      <c r="A135" s="7"/>
      <c r="B135" s="8"/>
    </row>
    <row r="136" spans="1:2" x14ac:dyDescent="0.2">
      <c r="A136" s="7"/>
      <c r="B136" s="8"/>
    </row>
    <row r="137" spans="1:2" x14ac:dyDescent="0.2">
      <c r="A137" s="7"/>
      <c r="B137" s="8"/>
    </row>
    <row r="138" spans="1:2" x14ac:dyDescent="0.2">
      <c r="A138" s="7"/>
      <c r="B138" s="8"/>
    </row>
    <row r="139" spans="1:2" x14ac:dyDescent="0.2">
      <c r="A139" s="3"/>
    </row>
    <row r="140" spans="1:2" x14ac:dyDescent="0.2">
      <c r="A140" s="3"/>
    </row>
    <row r="141" spans="1:2" x14ac:dyDescent="0.2">
      <c r="A141" s="3"/>
    </row>
    <row r="142" spans="1:2" x14ac:dyDescent="0.2">
      <c r="A142" s="3"/>
    </row>
    <row r="143" spans="1:2" x14ac:dyDescent="0.2">
      <c r="A143" s="3"/>
      <c r="B143" s="1"/>
    </row>
    <row r="144" spans="1:2" x14ac:dyDescent="0.2">
      <c r="A144" s="3"/>
      <c r="B144" s="1"/>
    </row>
    <row r="145" spans="1:2" x14ac:dyDescent="0.2">
      <c r="A145" s="3"/>
      <c r="B145" s="1"/>
    </row>
    <row r="146" spans="1:2" x14ac:dyDescent="0.2">
      <c r="A146" s="3"/>
      <c r="B146" s="1"/>
    </row>
    <row r="147" spans="1:2" x14ac:dyDescent="0.2">
      <c r="A147" s="3"/>
      <c r="B147" s="1"/>
    </row>
    <row r="148" spans="1:2" x14ac:dyDescent="0.2">
      <c r="A148" s="3"/>
      <c r="B148" s="1"/>
    </row>
    <row r="149" spans="1:2" x14ac:dyDescent="0.2">
      <c r="A149" s="3"/>
      <c r="B149" s="1"/>
    </row>
    <row r="150" spans="1:2" x14ac:dyDescent="0.2">
      <c r="A150" s="3"/>
      <c r="B150" s="1"/>
    </row>
    <row r="151" spans="1:2" x14ac:dyDescent="0.2">
      <c r="A151" s="3"/>
      <c r="B151" s="1"/>
    </row>
    <row r="152" spans="1:2" x14ac:dyDescent="0.2">
      <c r="A152" s="3"/>
      <c r="B152" s="1"/>
    </row>
    <row r="153" spans="1:2" x14ac:dyDescent="0.2">
      <c r="A153" s="3"/>
      <c r="B153" s="1"/>
    </row>
    <row r="154" spans="1:2" x14ac:dyDescent="0.2">
      <c r="A154" s="3"/>
      <c r="B154" s="1"/>
    </row>
    <row r="155" spans="1:2" x14ac:dyDescent="0.2">
      <c r="A155" s="3"/>
      <c r="B155" s="1"/>
    </row>
    <row r="156" spans="1:2" x14ac:dyDescent="0.2">
      <c r="A156" s="3"/>
      <c r="B156" s="1"/>
    </row>
    <row r="157" spans="1:2" x14ac:dyDescent="0.2">
      <c r="A157" s="3"/>
      <c r="B157" s="1"/>
    </row>
    <row r="158" spans="1:2" x14ac:dyDescent="0.2">
      <c r="A158" s="3"/>
      <c r="B158" s="1"/>
    </row>
    <row r="159" spans="1:2" x14ac:dyDescent="0.2">
      <c r="A159" s="3"/>
      <c r="B159" s="1"/>
    </row>
    <row r="160" spans="1:2" x14ac:dyDescent="0.2">
      <c r="A160" s="3"/>
      <c r="B160" s="1"/>
    </row>
    <row r="161" spans="1:2" x14ac:dyDescent="0.2">
      <c r="A161" s="3"/>
      <c r="B161" s="1"/>
    </row>
    <row r="162" spans="1:2" x14ac:dyDescent="0.2">
      <c r="A162" s="3"/>
      <c r="B162" s="1"/>
    </row>
    <row r="163" spans="1:2" x14ac:dyDescent="0.2">
      <c r="A163" s="3"/>
      <c r="B163" s="1"/>
    </row>
    <row r="164" spans="1:2" x14ac:dyDescent="0.2">
      <c r="A164" s="3"/>
      <c r="B164" s="1"/>
    </row>
    <row r="165" spans="1:2" x14ac:dyDescent="0.2">
      <c r="A165" s="3"/>
      <c r="B165" s="1"/>
    </row>
    <row r="166" spans="1:2" x14ac:dyDescent="0.2">
      <c r="A166" s="3"/>
      <c r="B166" s="1"/>
    </row>
    <row r="167" spans="1:2" x14ac:dyDescent="0.2">
      <c r="A167" s="3"/>
      <c r="B167" s="1"/>
    </row>
    <row r="168" spans="1:2" x14ac:dyDescent="0.2">
      <c r="A168" s="3"/>
      <c r="B168" s="1"/>
    </row>
    <row r="169" spans="1:2" x14ac:dyDescent="0.2">
      <c r="A169" s="3"/>
      <c r="B169" s="1"/>
    </row>
    <row r="170" spans="1:2" x14ac:dyDescent="0.2">
      <c r="A170" s="3"/>
      <c r="B170" s="1"/>
    </row>
    <row r="171" spans="1:2" x14ac:dyDescent="0.2">
      <c r="A171" s="3"/>
      <c r="B171" s="1"/>
    </row>
    <row r="172" spans="1:2" x14ac:dyDescent="0.2">
      <c r="A172" s="3"/>
      <c r="B172" s="1"/>
    </row>
    <row r="173" spans="1:2" x14ac:dyDescent="0.2">
      <c r="A173" s="3"/>
      <c r="B173" s="1"/>
    </row>
    <row r="174" spans="1:2" x14ac:dyDescent="0.2">
      <c r="A174" s="3"/>
      <c r="B174" s="1"/>
    </row>
    <row r="175" spans="1:2" x14ac:dyDescent="0.2">
      <c r="A175" s="3"/>
      <c r="B175" s="1"/>
    </row>
    <row r="176" spans="1:2" x14ac:dyDescent="0.2">
      <c r="A176" s="3"/>
      <c r="B176" s="1"/>
    </row>
    <row r="177" spans="1:2" x14ac:dyDescent="0.2">
      <c r="A177" s="3"/>
      <c r="B177" s="1"/>
    </row>
    <row r="178" spans="1:2" x14ac:dyDescent="0.2">
      <c r="A178" s="3"/>
      <c r="B178" s="1"/>
    </row>
    <row r="179" spans="1:2" x14ac:dyDescent="0.2">
      <c r="A179" s="3"/>
      <c r="B179" s="1"/>
    </row>
    <row r="180" spans="1:2" x14ac:dyDescent="0.2">
      <c r="A180" s="3"/>
      <c r="B180" s="1"/>
    </row>
    <row r="181" spans="1:2" x14ac:dyDescent="0.2">
      <c r="A181" s="3"/>
      <c r="B181" s="1"/>
    </row>
    <row r="182" spans="1:2" x14ac:dyDescent="0.2">
      <c r="A182" s="3"/>
      <c r="B182" s="1"/>
    </row>
    <row r="183" spans="1:2" x14ac:dyDescent="0.2">
      <c r="A183" s="3"/>
      <c r="B183" s="1"/>
    </row>
    <row r="184" spans="1:2" x14ac:dyDescent="0.2">
      <c r="A184" s="3"/>
      <c r="B184" s="1"/>
    </row>
    <row r="185" spans="1:2" x14ac:dyDescent="0.2">
      <c r="A185" s="3"/>
      <c r="B185" s="1"/>
    </row>
    <row r="186" spans="1:2" x14ac:dyDescent="0.2">
      <c r="A186" s="3"/>
      <c r="B186" s="1"/>
    </row>
    <row r="187" spans="1:2" x14ac:dyDescent="0.2">
      <c r="A187" s="3"/>
      <c r="B187" s="1"/>
    </row>
    <row r="188" spans="1:2" x14ac:dyDescent="0.2">
      <c r="A188" s="3"/>
      <c r="B188" s="1"/>
    </row>
    <row r="189" spans="1:2" x14ac:dyDescent="0.2">
      <c r="A189" s="3"/>
      <c r="B189" s="1"/>
    </row>
    <row r="190" spans="1:2" x14ac:dyDescent="0.2">
      <c r="A190" s="3"/>
      <c r="B190" s="1"/>
    </row>
    <row r="191" spans="1:2" x14ac:dyDescent="0.2">
      <c r="A191" s="3"/>
      <c r="B191" s="1"/>
    </row>
    <row r="192" spans="1:2" x14ac:dyDescent="0.2">
      <c r="A192" s="3"/>
      <c r="B192" s="1"/>
    </row>
    <row r="193" spans="1:2" x14ac:dyDescent="0.2">
      <c r="A193" s="3"/>
      <c r="B193" s="1"/>
    </row>
    <row r="194" spans="1:2" x14ac:dyDescent="0.2">
      <c r="A194" s="3"/>
      <c r="B194" s="1"/>
    </row>
    <row r="195" spans="1:2" x14ac:dyDescent="0.2">
      <c r="A195" s="3"/>
      <c r="B195" s="1"/>
    </row>
    <row r="196" spans="1:2" x14ac:dyDescent="0.2">
      <c r="A196" s="3"/>
      <c r="B196" s="1"/>
    </row>
    <row r="197" spans="1:2" x14ac:dyDescent="0.2">
      <c r="A197" s="3"/>
      <c r="B197" s="1"/>
    </row>
    <row r="198" spans="1:2" x14ac:dyDescent="0.2">
      <c r="A198" s="3"/>
      <c r="B198" s="1"/>
    </row>
    <row r="199" spans="1:2" x14ac:dyDescent="0.2">
      <c r="A199" s="3"/>
      <c r="B199" s="1"/>
    </row>
    <row r="200" spans="1:2" x14ac:dyDescent="0.2">
      <c r="A200" s="3"/>
      <c r="B200" s="1"/>
    </row>
    <row r="201" spans="1:2" x14ac:dyDescent="0.2">
      <c r="A201" s="3"/>
      <c r="B201" s="1"/>
    </row>
    <row r="202" spans="1:2" x14ac:dyDescent="0.2">
      <c r="A202" s="3"/>
      <c r="B202" s="1"/>
    </row>
    <row r="203" spans="1:2" x14ac:dyDescent="0.2">
      <c r="A203" s="3"/>
      <c r="B203" s="1"/>
    </row>
    <row r="204" spans="1:2" x14ac:dyDescent="0.2">
      <c r="A204" s="3"/>
      <c r="B204" s="1"/>
    </row>
    <row r="205" spans="1:2" x14ac:dyDescent="0.2">
      <c r="A205" s="3"/>
      <c r="B205" s="1"/>
    </row>
    <row r="206" spans="1:2" x14ac:dyDescent="0.2">
      <c r="A206" s="3"/>
      <c r="B206" s="1"/>
    </row>
    <row r="207" spans="1:2" x14ac:dyDescent="0.2">
      <c r="A207" s="3"/>
      <c r="B207" s="1"/>
    </row>
    <row r="208" spans="1:2" x14ac:dyDescent="0.2">
      <c r="A208" s="3"/>
      <c r="B208" s="1"/>
    </row>
    <row r="209" spans="1:2" x14ac:dyDescent="0.2">
      <c r="A209" s="3"/>
      <c r="B209" s="1"/>
    </row>
    <row r="210" spans="1:2" x14ac:dyDescent="0.2">
      <c r="A210" s="3"/>
      <c r="B210" s="1"/>
    </row>
    <row r="211" spans="1:2" x14ac:dyDescent="0.2">
      <c r="A211" s="3"/>
      <c r="B211" s="1"/>
    </row>
    <row r="212" spans="1:2" x14ac:dyDescent="0.2">
      <c r="A212" s="3"/>
      <c r="B212" s="1"/>
    </row>
    <row r="213" spans="1:2" x14ac:dyDescent="0.2">
      <c r="A213" s="3"/>
      <c r="B213" s="1"/>
    </row>
    <row r="214" spans="1:2" x14ac:dyDescent="0.2">
      <c r="A214" s="3"/>
      <c r="B214" s="1"/>
    </row>
    <row r="215" spans="1:2" x14ac:dyDescent="0.2">
      <c r="A215" s="3"/>
      <c r="B215" s="1"/>
    </row>
    <row r="216" spans="1:2" x14ac:dyDescent="0.2">
      <c r="A216" s="3"/>
      <c r="B216" s="1"/>
    </row>
    <row r="217" spans="1:2" x14ac:dyDescent="0.2">
      <c r="A217" s="3"/>
      <c r="B217" s="1"/>
    </row>
    <row r="218" spans="1:2" x14ac:dyDescent="0.2">
      <c r="A218" s="3"/>
      <c r="B218" s="1"/>
    </row>
    <row r="219" spans="1:2" x14ac:dyDescent="0.2">
      <c r="A219" s="3"/>
      <c r="B219" s="1"/>
    </row>
    <row r="220" spans="1:2" x14ac:dyDescent="0.2">
      <c r="A220" s="3"/>
      <c r="B220" s="1"/>
    </row>
    <row r="221" spans="1:2" x14ac:dyDescent="0.2">
      <c r="A221" s="3"/>
      <c r="B221" s="1"/>
    </row>
    <row r="222" spans="1:2" x14ac:dyDescent="0.2">
      <c r="A222" s="3"/>
      <c r="B222" s="1"/>
    </row>
    <row r="223" spans="1:2" x14ac:dyDescent="0.2">
      <c r="A223" s="3"/>
      <c r="B223" s="1"/>
    </row>
    <row r="224" spans="1:2" x14ac:dyDescent="0.2">
      <c r="A224" s="3"/>
      <c r="B224" s="1"/>
    </row>
    <row r="225" spans="1:2" x14ac:dyDescent="0.2">
      <c r="A225" s="3"/>
      <c r="B225" s="1"/>
    </row>
    <row r="226" spans="1:2" x14ac:dyDescent="0.2">
      <c r="A226" s="3"/>
      <c r="B226" s="1"/>
    </row>
    <row r="227" spans="1:2" x14ac:dyDescent="0.2">
      <c r="A227" s="3"/>
      <c r="B227" s="1"/>
    </row>
    <row r="228" spans="1:2" x14ac:dyDescent="0.2">
      <c r="A228" s="3"/>
      <c r="B228" s="1"/>
    </row>
    <row r="229" spans="1:2" x14ac:dyDescent="0.2">
      <c r="A229" s="3"/>
      <c r="B229" s="1"/>
    </row>
    <row r="230" spans="1:2" x14ac:dyDescent="0.2">
      <c r="A230" s="3"/>
      <c r="B230" s="1"/>
    </row>
    <row r="231" spans="1:2" x14ac:dyDescent="0.2">
      <c r="A231" s="3"/>
      <c r="B231" s="1"/>
    </row>
    <row r="232" spans="1:2" x14ac:dyDescent="0.2">
      <c r="A232" s="3"/>
      <c r="B232" s="1"/>
    </row>
    <row r="233" spans="1:2" x14ac:dyDescent="0.2">
      <c r="A233" s="3"/>
      <c r="B233" s="1"/>
    </row>
    <row r="234" spans="1:2" x14ac:dyDescent="0.2">
      <c r="A234" s="3"/>
      <c r="B234" s="1"/>
    </row>
    <row r="235" spans="1:2" x14ac:dyDescent="0.2">
      <c r="A235" s="3"/>
      <c r="B235" s="1"/>
    </row>
    <row r="236" spans="1:2" x14ac:dyDescent="0.2">
      <c r="A236" s="3"/>
      <c r="B236" s="1"/>
    </row>
    <row r="237" spans="1:2" x14ac:dyDescent="0.2">
      <c r="A237" s="3"/>
      <c r="B237" s="1"/>
    </row>
    <row r="238" spans="1:2" x14ac:dyDescent="0.2">
      <c r="A238" s="3"/>
      <c r="B238" s="1"/>
    </row>
    <row r="239" spans="1:2" x14ac:dyDescent="0.2">
      <c r="A239" s="3"/>
      <c r="B239" s="1"/>
    </row>
    <row r="240" spans="1:2" x14ac:dyDescent="0.2">
      <c r="A240" s="3"/>
      <c r="B240" s="1"/>
    </row>
    <row r="241" spans="1:2" x14ac:dyDescent="0.2">
      <c r="A241" s="3"/>
      <c r="B241" s="1"/>
    </row>
    <row r="242" spans="1:2" x14ac:dyDescent="0.2">
      <c r="A242" s="3"/>
      <c r="B242" s="1"/>
    </row>
    <row r="243" spans="1:2" x14ac:dyDescent="0.2">
      <c r="A243" s="3"/>
      <c r="B243" s="1"/>
    </row>
    <row r="244" spans="1:2" x14ac:dyDescent="0.2">
      <c r="A244" s="3"/>
      <c r="B244" s="1"/>
    </row>
    <row r="245" spans="1:2" x14ac:dyDescent="0.2">
      <c r="A245" s="3"/>
      <c r="B245" s="1"/>
    </row>
    <row r="246" spans="1:2" x14ac:dyDescent="0.2">
      <c r="A246" s="3"/>
      <c r="B246" s="1"/>
    </row>
    <row r="247" spans="1:2" x14ac:dyDescent="0.2">
      <c r="A247" s="3"/>
      <c r="B247" s="1"/>
    </row>
    <row r="248" spans="1:2" x14ac:dyDescent="0.2">
      <c r="A248" s="3"/>
      <c r="B248" s="1"/>
    </row>
    <row r="249" spans="1:2" x14ac:dyDescent="0.2">
      <c r="A249" s="3"/>
      <c r="B249" s="1"/>
    </row>
    <row r="250" spans="1:2" x14ac:dyDescent="0.2">
      <c r="A250" s="3"/>
      <c r="B250" s="1"/>
    </row>
    <row r="251" spans="1:2" x14ac:dyDescent="0.2">
      <c r="A251" s="3"/>
      <c r="B251" s="1"/>
    </row>
    <row r="252" spans="1:2" x14ac:dyDescent="0.2">
      <c r="A252" s="3"/>
      <c r="B252" s="1"/>
    </row>
    <row r="253" spans="1:2" x14ac:dyDescent="0.2">
      <c r="A253" s="3"/>
      <c r="B253" s="1"/>
    </row>
    <row r="254" spans="1:2" x14ac:dyDescent="0.2">
      <c r="A254" s="3"/>
      <c r="B254" s="1"/>
    </row>
    <row r="255" spans="1:2" x14ac:dyDescent="0.2">
      <c r="A255" s="3"/>
      <c r="B255" s="1"/>
    </row>
    <row r="256" spans="1:2" x14ac:dyDescent="0.2">
      <c r="A256" s="3"/>
      <c r="B256" s="1"/>
    </row>
    <row r="257" spans="1:2" x14ac:dyDescent="0.2">
      <c r="A257" s="3"/>
      <c r="B257" s="1"/>
    </row>
    <row r="258" spans="1:2" x14ac:dyDescent="0.2">
      <c r="A258" s="3"/>
      <c r="B258" s="1"/>
    </row>
    <row r="259" spans="1:2" x14ac:dyDescent="0.2">
      <c r="A259" s="3"/>
      <c r="B259" s="1"/>
    </row>
    <row r="260" spans="1:2" x14ac:dyDescent="0.2">
      <c r="A260" s="3"/>
      <c r="B260" s="1"/>
    </row>
    <row r="261" spans="1:2" x14ac:dyDescent="0.2">
      <c r="A261" s="3"/>
      <c r="B261" s="1"/>
    </row>
    <row r="262" spans="1:2" x14ac:dyDescent="0.2">
      <c r="A262" s="3"/>
      <c r="B262" s="1"/>
    </row>
    <row r="263" spans="1:2" x14ac:dyDescent="0.2">
      <c r="A263" s="3"/>
      <c r="B263" s="1"/>
    </row>
    <row r="264" spans="1:2" x14ac:dyDescent="0.2">
      <c r="A264" s="3"/>
      <c r="B264" s="1"/>
    </row>
    <row r="265" spans="1:2" x14ac:dyDescent="0.2">
      <c r="A265" s="3"/>
      <c r="B265" s="1"/>
    </row>
    <row r="266" spans="1:2" x14ac:dyDescent="0.2">
      <c r="A266" s="3"/>
      <c r="B266" s="1"/>
    </row>
    <row r="267" spans="1:2" x14ac:dyDescent="0.2">
      <c r="A267" s="3"/>
      <c r="B267" s="1"/>
    </row>
    <row r="268" spans="1:2" x14ac:dyDescent="0.2">
      <c r="A268" s="3"/>
      <c r="B268" s="1"/>
    </row>
    <row r="269" spans="1:2" x14ac:dyDescent="0.2">
      <c r="A269" s="3"/>
      <c r="B269" s="1"/>
    </row>
    <row r="270" spans="1:2" x14ac:dyDescent="0.2">
      <c r="A270" s="3"/>
      <c r="B270" s="1"/>
    </row>
    <row r="271" spans="1:2" x14ac:dyDescent="0.2">
      <c r="A271" s="3"/>
      <c r="B271" s="1"/>
    </row>
    <row r="272" spans="1:2" x14ac:dyDescent="0.2">
      <c r="A272" s="3"/>
      <c r="B272" s="1"/>
    </row>
    <row r="273" spans="1:2" x14ac:dyDescent="0.2">
      <c r="A273" s="3"/>
      <c r="B273" s="1"/>
    </row>
    <row r="274" spans="1:2" x14ac:dyDescent="0.2">
      <c r="A274" s="3"/>
      <c r="B274" s="1"/>
    </row>
    <row r="275" spans="1:2" x14ac:dyDescent="0.2">
      <c r="A275" s="3"/>
      <c r="B275" s="1"/>
    </row>
    <row r="276" spans="1:2" x14ac:dyDescent="0.2">
      <c r="A276" s="3"/>
      <c r="B276" s="1"/>
    </row>
    <row r="277" spans="1:2" x14ac:dyDescent="0.2">
      <c r="A277" s="3"/>
      <c r="B277" s="1"/>
    </row>
    <row r="278" spans="1:2" x14ac:dyDescent="0.2">
      <c r="A278" s="3"/>
      <c r="B278" s="1"/>
    </row>
    <row r="279" spans="1:2" x14ac:dyDescent="0.2">
      <c r="A279" s="3"/>
      <c r="B279" s="1"/>
    </row>
    <row r="280" spans="1:2" x14ac:dyDescent="0.2">
      <c r="A280" s="3"/>
      <c r="B280" s="1"/>
    </row>
    <row r="281" spans="1:2" x14ac:dyDescent="0.2">
      <c r="A281" s="3"/>
      <c r="B281" s="1"/>
    </row>
    <row r="282" spans="1:2" x14ac:dyDescent="0.2">
      <c r="A282" s="3"/>
      <c r="B282" s="1"/>
    </row>
    <row r="283" spans="1:2" x14ac:dyDescent="0.2">
      <c r="A283" s="3"/>
      <c r="B283" s="1"/>
    </row>
    <row r="284" spans="1:2" x14ac:dyDescent="0.2">
      <c r="A284" s="3"/>
      <c r="B284" s="1"/>
    </row>
    <row r="285" spans="1:2" x14ac:dyDescent="0.2">
      <c r="A285" s="3"/>
      <c r="B285" s="1"/>
    </row>
    <row r="286" spans="1:2" x14ac:dyDescent="0.2">
      <c r="A286" s="3"/>
      <c r="B286" s="1"/>
    </row>
    <row r="287" spans="1:2" x14ac:dyDescent="0.2">
      <c r="A287" s="3"/>
      <c r="B287" s="1"/>
    </row>
    <row r="288" spans="1:2" x14ac:dyDescent="0.2">
      <c r="A288" s="3"/>
      <c r="B288" s="1"/>
    </row>
    <row r="289" spans="1:2" x14ac:dyDescent="0.2">
      <c r="A289" s="3"/>
      <c r="B289" s="1"/>
    </row>
    <row r="290" spans="1:2" x14ac:dyDescent="0.2">
      <c r="A290" s="3"/>
      <c r="B290" s="1"/>
    </row>
    <row r="291" spans="1:2" x14ac:dyDescent="0.2">
      <c r="A291" s="3"/>
      <c r="B291" s="1"/>
    </row>
  </sheetData>
  <mergeCells count="26">
    <mergeCell ref="B25:D25"/>
    <mergeCell ref="E25:F25"/>
    <mergeCell ref="E24:F24"/>
    <mergeCell ref="B24:D24"/>
    <mergeCell ref="D17:F17"/>
    <mergeCell ref="B21:C21"/>
    <mergeCell ref="A7:B7"/>
    <mergeCell ref="A6:B6"/>
    <mergeCell ref="A3:B3"/>
    <mergeCell ref="D15:G15"/>
    <mergeCell ref="E23:F23"/>
    <mergeCell ref="E20:F20"/>
    <mergeCell ref="E22:F22"/>
    <mergeCell ref="E19:F19"/>
    <mergeCell ref="E21:F21"/>
    <mergeCell ref="B23:D23"/>
    <mergeCell ref="B19:D19"/>
    <mergeCell ref="B20:D20"/>
    <mergeCell ref="B22:D22"/>
    <mergeCell ref="F14:G14"/>
    <mergeCell ref="A33:A34"/>
    <mergeCell ref="A31:G31"/>
    <mergeCell ref="B35:G35"/>
    <mergeCell ref="C33:C34"/>
    <mergeCell ref="B33:B34"/>
    <mergeCell ref="D33:G33"/>
  </mergeCells>
  <phoneticPr fontId="0" type="noConversion"/>
  <pageMargins left="0.71" right="0" top="0.39" bottom="0" header="0.21" footer="0"/>
  <pageSetup paperSize="9" scale="5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0"/>
  <sheetViews>
    <sheetView zoomScale="75" workbookViewId="0">
      <selection sqref="A1:I22"/>
    </sheetView>
  </sheetViews>
  <sheetFormatPr defaultRowHeight="15" x14ac:dyDescent="0.2"/>
  <cols>
    <col min="1" max="1" width="49.7109375" style="1" customWidth="1"/>
    <col min="2" max="2" width="8.28515625" style="6" bestFit="1" customWidth="1"/>
    <col min="3" max="4" width="9.5703125" style="6" customWidth="1"/>
    <col min="5" max="5" width="13.28515625" style="1" customWidth="1"/>
    <col min="6" max="9" width="12" style="1" customWidth="1"/>
    <col min="10" max="10" width="9.140625" style="1"/>
    <col min="11" max="11" width="14.140625" style="1" customWidth="1"/>
    <col min="12" max="16384" width="9.140625" style="1"/>
  </cols>
  <sheetData>
    <row r="1" spans="1:11" ht="15.75" x14ac:dyDescent="0.25">
      <c r="A1" s="357"/>
      <c r="B1" s="357"/>
      <c r="C1" s="357"/>
      <c r="D1" s="357"/>
      <c r="E1" s="357"/>
      <c r="F1" s="357"/>
      <c r="G1" s="358" t="s">
        <v>69</v>
      </c>
      <c r="H1" s="358"/>
      <c r="I1" s="358"/>
    </row>
    <row r="2" spans="1:11" ht="15.75" x14ac:dyDescent="0.25">
      <c r="A2" s="357"/>
      <c r="B2" s="357"/>
      <c r="C2" s="357"/>
      <c r="D2" s="357"/>
      <c r="E2" s="357"/>
      <c r="F2" s="357"/>
      <c r="G2" s="357"/>
      <c r="H2" s="357"/>
      <c r="I2" s="357"/>
    </row>
    <row r="3" spans="1:11" ht="15.75" x14ac:dyDescent="0.25">
      <c r="A3" s="357"/>
      <c r="B3" s="357"/>
      <c r="C3" s="357"/>
      <c r="D3" s="357"/>
      <c r="E3" s="357"/>
      <c r="F3" s="357"/>
      <c r="G3" s="357"/>
      <c r="H3" s="357"/>
      <c r="I3" s="43" t="s">
        <v>70</v>
      </c>
    </row>
    <row r="4" spans="1:11" ht="16.5" thickBot="1" x14ac:dyDescent="0.3">
      <c r="A4" s="43"/>
      <c r="B4" s="47"/>
      <c r="C4" s="47"/>
      <c r="D4" s="47"/>
      <c r="E4" s="47"/>
      <c r="F4" s="47"/>
      <c r="G4" s="47"/>
      <c r="H4" s="47"/>
      <c r="I4" s="308" t="s">
        <v>465</v>
      </c>
    </row>
    <row r="5" spans="1:11" ht="21.75" customHeight="1" x14ac:dyDescent="0.2">
      <c r="A5" s="359" t="s">
        <v>71</v>
      </c>
      <c r="B5" s="360"/>
      <c r="C5" s="360"/>
      <c r="D5" s="360"/>
      <c r="E5" s="360"/>
      <c r="F5" s="360"/>
      <c r="G5" s="360"/>
      <c r="H5" s="360"/>
      <c r="I5" s="361"/>
    </row>
    <row r="6" spans="1:11" ht="15" customHeight="1" x14ac:dyDescent="0.25">
      <c r="A6" s="363"/>
      <c r="B6" s="340" t="s">
        <v>38</v>
      </c>
      <c r="C6" s="340" t="s">
        <v>52</v>
      </c>
      <c r="D6" s="340" t="s">
        <v>85</v>
      </c>
      <c r="E6" s="339" t="s">
        <v>53</v>
      </c>
      <c r="F6" s="341" t="s">
        <v>76</v>
      </c>
      <c r="G6" s="342"/>
      <c r="H6" s="342"/>
      <c r="I6" s="362"/>
    </row>
    <row r="7" spans="1:11" ht="36.75" customHeight="1" x14ac:dyDescent="0.2">
      <c r="A7" s="364"/>
      <c r="B7" s="340"/>
      <c r="C7" s="340"/>
      <c r="D7" s="340"/>
      <c r="E7" s="339"/>
      <c r="F7" s="42" t="s">
        <v>72</v>
      </c>
      <c r="G7" s="42" t="s">
        <v>73</v>
      </c>
      <c r="H7" s="42" t="s">
        <v>74</v>
      </c>
      <c r="I7" s="72" t="s">
        <v>75</v>
      </c>
    </row>
    <row r="8" spans="1:11" s="5" customFormat="1" ht="24.75" customHeight="1" x14ac:dyDescent="0.25">
      <c r="A8" s="73" t="s">
        <v>77</v>
      </c>
      <c r="B8" s="71" t="s">
        <v>28</v>
      </c>
      <c r="C8" s="192">
        <v>4272.8999999999996</v>
      </c>
      <c r="D8" s="192">
        <v>3514</v>
      </c>
      <c r="E8" s="179">
        <f t="shared" ref="E8:E14" si="0">SUM(F8:I8)</f>
        <v>6350.3</v>
      </c>
      <c r="F8" s="179">
        <f>F9+F10</f>
        <v>1137.2</v>
      </c>
      <c r="G8" s="179">
        <f>G9+G10</f>
        <v>1514.7</v>
      </c>
      <c r="H8" s="179">
        <f>H9+H10</f>
        <v>1856.1</v>
      </c>
      <c r="I8" s="180">
        <f>I9+I10</f>
        <v>1842.3</v>
      </c>
    </row>
    <row r="9" spans="1:11" s="22" customFormat="1" ht="21" customHeight="1" x14ac:dyDescent="0.25">
      <c r="A9" s="74" t="s">
        <v>78</v>
      </c>
      <c r="B9" s="40" t="s">
        <v>79</v>
      </c>
      <c r="C9" s="193">
        <v>2438.6</v>
      </c>
      <c r="D9" s="193">
        <v>1409.1999999999998</v>
      </c>
      <c r="E9" s="181">
        <f t="shared" si="0"/>
        <v>3428.7</v>
      </c>
      <c r="F9" s="182">
        <v>495.2</v>
      </c>
      <c r="G9" s="182">
        <v>841.2</v>
      </c>
      <c r="H9" s="182">
        <v>1088.8</v>
      </c>
      <c r="I9" s="183">
        <v>1003.5</v>
      </c>
    </row>
    <row r="10" spans="1:11" s="22" customFormat="1" ht="21" customHeight="1" x14ac:dyDescent="0.25">
      <c r="A10" s="74" t="s">
        <v>80</v>
      </c>
      <c r="B10" s="40" t="s">
        <v>81</v>
      </c>
      <c r="C10" s="193">
        <v>1834.3</v>
      </c>
      <c r="D10" s="193">
        <v>2104.8000000000002</v>
      </c>
      <c r="E10" s="181">
        <f t="shared" si="0"/>
        <v>2921.6000000000004</v>
      </c>
      <c r="F10" s="184">
        <v>642</v>
      </c>
      <c r="G10" s="184">
        <v>673.5</v>
      </c>
      <c r="H10" s="184">
        <v>767.3</v>
      </c>
      <c r="I10" s="185">
        <v>838.8</v>
      </c>
    </row>
    <row r="11" spans="1:11" s="12" customFormat="1" ht="24.75" customHeight="1" x14ac:dyDescent="0.25">
      <c r="A11" s="73" t="s">
        <v>7</v>
      </c>
      <c r="B11" s="70" t="s">
        <v>29</v>
      </c>
      <c r="C11" s="192">
        <v>6775.9</v>
      </c>
      <c r="D11" s="192">
        <v>6493.5999999999995</v>
      </c>
      <c r="E11" s="179">
        <f t="shared" si="0"/>
        <v>9596.7000000000007</v>
      </c>
      <c r="F11" s="179">
        <f>фінплан!D96</f>
        <v>1928.1999999999998</v>
      </c>
      <c r="G11" s="179">
        <f>фінплан!E96</f>
        <v>2484.9</v>
      </c>
      <c r="H11" s="179">
        <f>фінплан!F96</f>
        <v>2618.5</v>
      </c>
      <c r="I11" s="180">
        <f>фінплан!G96</f>
        <v>2565.1</v>
      </c>
      <c r="J11" s="5"/>
      <c r="K11" s="5"/>
    </row>
    <row r="12" spans="1:11" s="5" customFormat="1" ht="21" customHeight="1" x14ac:dyDescent="0.25">
      <c r="A12" s="73" t="s">
        <v>8</v>
      </c>
      <c r="B12" s="70" t="s">
        <v>30</v>
      </c>
      <c r="C12" s="194">
        <v>1492.3</v>
      </c>
      <c r="D12" s="194">
        <v>1449.6000000000001</v>
      </c>
      <c r="E12" s="186">
        <f t="shared" si="0"/>
        <v>1775.6</v>
      </c>
      <c r="F12" s="186">
        <f>фінплан!D97</f>
        <v>416.7</v>
      </c>
      <c r="G12" s="186">
        <f>фінплан!E97</f>
        <v>442.09999999999997</v>
      </c>
      <c r="H12" s="186">
        <f>фінплан!F97</f>
        <v>462.5</v>
      </c>
      <c r="I12" s="187">
        <f>фінплан!G97</f>
        <v>454.29999999999995</v>
      </c>
    </row>
    <row r="13" spans="1:11" s="5" customFormat="1" ht="24" customHeight="1" x14ac:dyDescent="0.25">
      <c r="A13" s="75" t="s">
        <v>9</v>
      </c>
      <c r="B13" s="70" t="s">
        <v>31</v>
      </c>
      <c r="C13" s="195">
        <v>1252</v>
      </c>
      <c r="D13" s="195">
        <v>1300</v>
      </c>
      <c r="E13" s="179">
        <f t="shared" si="0"/>
        <v>1472.8</v>
      </c>
      <c r="F13" s="179">
        <f>фінплан!D98</f>
        <v>368.2</v>
      </c>
      <c r="G13" s="179">
        <f>фінплан!E98</f>
        <v>368.2</v>
      </c>
      <c r="H13" s="179">
        <f>фінплан!F98</f>
        <v>368.2</v>
      </c>
      <c r="I13" s="180">
        <f>фінплан!G98</f>
        <v>368.2</v>
      </c>
    </row>
    <row r="14" spans="1:11" s="5" customFormat="1" ht="24" customHeight="1" thickBot="1" x14ac:dyDescent="0.3">
      <c r="A14" s="112" t="s">
        <v>82</v>
      </c>
      <c r="B14" s="113" t="s">
        <v>55</v>
      </c>
      <c r="C14" s="196">
        <v>766.4</v>
      </c>
      <c r="D14" s="196">
        <v>2911.9</v>
      </c>
      <c r="E14" s="188">
        <f t="shared" si="0"/>
        <v>2505</v>
      </c>
      <c r="F14" s="188">
        <f>фінплан!D99</f>
        <v>952.3</v>
      </c>
      <c r="G14" s="188">
        <f>фінплан!E99</f>
        <v>695.4</v>
      </c>
      <c r="H14" s="188">
        <f>фінплан!F99</f>
        <v>422.9</v>
      </c>
      <c r="I14" s="189">
        <f>фінплан!G99</f>
        <v>434.4</v>
      </c>
    </row>
    <row r="15" spans="1:11" s="5" customFormat="1" ht="23.25" customHeight="1" thickBot="1" x14ac:dyDescent="0.3">
      <c r="A15" s="114" t="s">
        <v>83</v>
      </c>
      <c r="B15" s="115" t="s">
        <v>56</v>
      </c>
      <c r="C15" s="197">
        <v>14559.499999999998</v>
      </c>
      <c r="D15" s="197">
        <v>15669.1</v>
      </c>
      <c r="E15" s="190">
        <f>SUM(F15:I15)</f>
        <v>21700.399999999998</v>
      </c>
      <c r="F15" s="190">
        <f>F8+F11+F12+F13+F14</f>
        <v>4802.5999999999995</v>
      </c>
      <c r="G15" s="190">
        <f>G8+G11+G12+G13+G14</f>
        <v>5505.3</v>
      </c>
      <c r="H15" s="190">
        <f>H8+H11+H12+H13+H14</f>
        <v>5728.2</v>
      </c>
      <c r="I15" s="191">
        <f>I8+I11+I12+I13+I14</f>
        <v>5664.2999999999993</v>
      </c>
    </row>
    <row r="16" spans="1:11" ht="16.5" customHeight="1" x14ac:dyDescent="0.25">
      <c r="A16" s="76"/>
      <c r="B16" s="77"/>
      <c r="C16" s="78"/>
      <c r="D16" s="78"/>
      <c r="E16" s="79"/>
      <c r="F16" s="80"/>
      <c r="G16" s="80"/>
      <c r="H16" s="80"/>
      <c r="I16" s="80"/>
    </row>
    <row r="17" spans="1:10" ht="16.5" customHeight="1" x14ac:dyDescent="0.25">
      <c r="A17" s="76"/>
      <c r="B17" s="77"/>
      <c r="C17" s="78"/>
      <c r="D17" s="78"/>
      <c r="E17" s="79"/>
      <c r="F17" s="80"/>
      <c r="G17" s="80"/>
      <c r="H17" s="80"/>
      <c r="I17" s="80"/>
    </row>
    <row r="18" spans="1:10" ht="16.5" customHeight="1" x14ac:dyDescent="0.25">
      <c r="A18" s="76"/>
      <c r="B18" s="77"/>
      <c r="C18" s="78"/>
      <c r="D18" s="78"/>
      <c r="E18" s="79"/>
      <c r="F18" s="80"/>
      <c r="G18" s="80"/>
      <c r="H18" s="80"/>
      <c r="I18" s="80"/>
    </row>
    <row r="19" spans="1:10" ht="15.75" x14ac:dyDescent="0.25">
      <c r="A19" s="43"/>
      <c r="B19" s="43"/>
      <c r="C19" s="43"/>
      <c r="D19" s="43"/>
      <c r="E19" s="81"/>
      <c r="F19" s="81"/>
      <c r="G19" s="81"/>
      <c r="H19" s="81"/>
      <c r="I19" s="81"/>
    </row>
    <row r="20" spans="1:10" s="20" customFormat="1" ht="15.75" x14ac:dyDescent="0.25">
      <c r="A20" s="82" t="s">
        <v>464</v>
      </c>
      <c r="B20" s="306"/>
      <c r="C20" s="306"/>
      <c r="D20" s="306"/>
      <c r="E20" s="306"/>
      <c r="F20" s="306"/>
      <c r="G20" s="306"/>
      <c r="H20" s="307" t="s">
        <v>461</v>
      </c>
      <c r="I20" s="83"/>
      <c r="J20" s="29"/>
    </row>
    <row r="21" spans="1:10" s="20" customFormat="1" ht="15.75" x14ac:dyDescent="0.25">
      <c r="A21" s="84" t="s">
        <v>1</v>
      </c>
      <c r="B21" s="83"/>
      <c r="C21" s="83"/>
      <c r="D21" s="83"/>
      <c r="E21" s="83"/>
      <c r="F21" s="83"/>
      <c r="G21" s="83"/>
      <c r="H21" s="83"/>
      <c r="I21" s="83"/>
      <c r="J21" s="29"/>
    </row>
    <row r="22" spans="1:10" ht="15.75" x14ac:dyDescent="0.25">
      <c r="A22" s="43"/>
      <c r="B22" s="35"/>
      <c r="C22" s="35"/>
      <c r="D22" s="35"/>
      <c r="E22" s="43"/>
      <c r="F22" s="43"/>
      <c r="G22" s="43"/>
      <c r="H22" s="43"/>
      <c r="I22" s="43"/>
    </row>
    <row r="23" spans="1:10" x14ac:dyDescent="0.2">
      <c r="A23" s="7"/>
      <c r="B23" s="8"/>
      <c r="C23" s="8"/>
      <c r="D23" s="8"/>
    </row>
    <row r="24" spans="1:10" x14ac:dyDescent="0.2">
      <c r="A24" s="7"/>
      <c r="B24" s="8"/>
      <c r="C24" s="8"/>
      <c r="D24" s="8"/>
    </row>
    <row r="25" spans="1:10" x14ac:dyDescent="0.2">
      <c r="A25" s="7"/>
      <c r="B25" s="8"/>
      <c r="C25" s="8"/>
      <c r="D25" s="8"/>
    </row>
    <row r="26" spans="1:10" x14ac:dyDescent="0.2">
      <c r="A26" s="7"/>
      <c r="B26" s="8"/>
      <c r="C26" s="8"/>
      <c r="D26" s="8"/>
    </row>
    <row r="27" spans="1:10" x14ac:dyDescent="0.2">
      <c r="A27" s="7"/>
      <c r="B27" s="8"/>
      <c r="C27" s="8"/>
      <c r="D27" s="8"/>
    </row>
    <row r="28" spans="1:10" x14ac:dyDescent="0.2">
      <c r="A28" s="7"/>
      <c r="B28" s="8"/>
      <c r="C28" s="8"/>
      <c r="D28" s="8"/>
    </row>
    <row r="29" spans="1:10" x14ac:dyDescent="0.2">
      <c r="A29" s="7"/>
      <c r="B29" s="8"/>
      <c r="C29" s="8"/>
      <c r="D29" s="8"/>
    </row>
    <row r="30" spans="1:10" x14ac:dyDescent="0.2">
      <c r="A30" s="7"/>
      <c r="B30" s="8"/>
      <c r="C30" s="8"/>
      <c r="D30" s="8"/>
    </row>
    <row r="31" spans="1:10" x14ac:dyDescent="0.2">
      <c r="A31" s="7"/>
      <c r="B31" s="8"/>
      <c r="C31" s="8"/>
      <c r="D31" s="8"/>
    </row>
    <row r="32" spans="1:10" x14ac:dyDescent="0.2">
      <c r="A32" s="7"/>
      <c r="B32" s="8"/>
      <c r="C32" s="8"/>
      <c r="D32" s="8"/>
    </row>
    <row r="33" spans="1:4" x14ac:dyDescent="0.2">
      <c r="A33" s="7"/>
      <c r="B33" s="8"/>
      <c r="C33" s="8"/>
      <c r="D33" s="8"/>
    </row>
    <row r="34" spans="1:4" x14ac:dyDescent="0.2">
      <c r="A34" s="7"/>
      <c r="B34" s="8"/>
      <c r="C34" s="8"/>
      <c r="D34" s="8"/>
    </row>
    <row r="35" spans="1:4" x14ac:dyDescent="0.2">
      <c r="A35" s="7"/>
      <c r="B35" s="8"/>
      <c r="C35" s="8"/>
      <c r="D35" s="8"/>
    </row>
    <row r="36" spans="1:4" x14ac:dyDescent="0.2">
      <c r="A36" s="7"/>
      <c r="B36" s="8"/>
      <c r="C36" s="8"/>
      <c r="D36" s="8"/>
    </row>
    <row r="37" spans="1:4" x14ac:dyDescent="0.2">
      <c r="A37" s="7"/>
      <c r="B37" s="8"/>
      <c r="C37" s="8"/>
      <c r="D37" s="8"/>
    </row>
    <row r="38" spans="1:4" x14ac:dyDescent="0.2">
      <c r="A38" s="3"/>
    </row>
    <row r="39" spans="1:4" x14ac:dyDescent="0.2">
      <c r="A39" s="3"/>
    </row>
    <row r="40" spans="1:4" x14ac:dyDescent="0.2">
      <c r="A40" s="3"/>
    </row>
    <row r="41" spans="1:4" x14ac:dyDescent="0.2">
      <c r="A41" s="3"/>
    </row>
    <row r="42" spans="1:4" x14ac:dyDescent="0.2">
      <c r="A42" s="3"/>
    </row>
    <row r="43" spans="1:4" x14ac:dyDescent="0.2">
      <c r="A43" s="3"/>
    </row>
    <row r="44" spans="1:4" x14ac:dyDescent="0.2">
      <c r="A44" s="3"/>
    </row>
    <row r="45" spans="1:4" x14ac:dyDescent="0.2">
      <c r="A45" s="3"/>
    </row>
    <row r="46" spans="1:4" x14ac:dyDescent="0.2">
      <c r="A46" s="3"/>
    </row>
    <row r="47" spans="1:4" x14ac:dyDescent="0.2">
      <c r="A47" s="3"/>
    </row>
    <row r="48" spans="1:4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4" spans="1:1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  <row r="158" spans="1:1" x14ac:dyDescent="0.2">
      <c r="A158" s="3"/>
    </row>
    <row r="159" spans="1:1" x14ac:dyDescent="0.2">
      <c r="A159" s="3"/>
    </row>
    <row r="160" spans="1:1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  <row r="171" spans="1:1" x14ac:dyDescent="0.2">
      <c r="A171" s="3"/>
    </row>
    <row r="172" spans="1:1" x14ac:dyDescent="0.2">
      <c r="A172" s="3"/>
    </row>
    <row r="173" spans="1:1" x14ac:dyDescent="0.2">
      <c r="A173" s="3"/>
    </row>
    <row r="174" spans="1:1" x14ac:dyDescent="0.2">
      <c r="A174" s="3"/>
    </row>
    <row r="175" spans="1:1" x14ac:dyDescent="0.2">
      <c r="A175" s="3"/>
    </row>
    <row r="176" spans="1:1" x14ac:dyDescent="0.2">
      <c r="A176" s="3"/>
    </row>
    <row r="177" spans="1:1" x14ac:dyDescent="0.2">
      <c r="A177" s="3"/>
    </row>
    <row r="178" spans="1:1" x14ac:dyDescent="0.2">
      <c r="A178" s="3"/>
    </row>
    <row r="179" spans="1:1" x14ac:dyDescent="0.2">
      <c r="A179" s="3"/>
    </row>
    <row r="180" spans="1:1" x14ac:dyDescent="0.2">
      <c r="A180" s="3"/>
    </row>
    <row r="181" spans="1:1" x14ac:dyDescent="0.2">
      <c r="A181" s="3"/>
    </row>
    <row r="182" spans="1:1" x14ac:dyDescent="0.2">
      <c r="A182" s="3"/>
    </row>
    <row r="183" spans="1:1" x14ac:dyDescent="0.2">
      <c r="A183" s="3"/>
    </row>
    <row r="184" spans="1:1" x14ac:dyDescent="0.2">
      <c r="A184" s="3"/>
    </row>
    <row r="185" spans="1:1" x14ac:dyDescent="0.2">
      <c r="A185" s="3"/>
    </row>
    <row r="186" spans="1:1" x14ac:dyDescent="0.2">
      <c r="A186" s="3"/>
    </row>
    <row r="187" spans="1:1" x14ac:dyDescent="0.2">
      <c r="A187" s="3"/>
    </row>
    <row r="188" spans="1:1" x14ac:dyDescent="0.2">
      <c r="A188" s="3"/>
    </row>
    <row r="189" spans="1:1" x14ac:dyDescent="0.2">
      <c r="A189" s="3"/>
    </row>
    <row r="190" spans="1:1" x14ac:dyDescent="0.2">
      <c r="A190" s="3"/>
    </row>
  </sheetData>
  <mergeCells count="11">
    <mergeCell ref="A1:F1"/>
    <mergeCell ref="A2:I2"/>
    <mergeCell ref="A3:H3"/>
    <mergeCell ref="G1:I1"/>
    <mergeCell ref="C6:C7"/>
    <mergeCell ref="D6:D7"/>
    <mergeCell ref="A5:I5"/>
    <mergeCell ref="B6:B7"/>
    <mergeCell ref="E6:E7"/>
    <mergeCell ref="F6:I6"/>
    <mergeCell ref="A6:A7"/>
  </mergeCells>
  <phoneticPr fontId="0" type="noConversion"/>
  <pageMargins left="0.39370078740157483" right="0.39370078740157483" top="0.78740157480314965" bottom="0.39370078740157483" header="0" footer="0"/>
  <pageSetup paperSize="9" scale="70" firstPageNumber="6" fitToHeight="0" orientation="portrait" useFirstPageNumber="1" verticalDpi="300" r:id="rId1"/>
  <headerFooter alignWithMargins="0"/>
  <ignoredErrors>
    <ignoredError sqref="B8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2"/>
  <sheetViews>
    <sheetView topLeftCell="A23" zoomScale="85" zoomScaleNormal="85" workbookViewId="0">
      <selection sqref="A1:I24"/>
    </sheetView>
  </sheetViews>
  <sheetFormatPr defaultRowHeight="14.25" x14ac:dyDescent="0.2"/>
  <cols>
    <col min="1" max="1" width="28.28515625" style="22" customWidth="1"/>
    <col min="2" max="2" width="6.42578125" style="8" customWidth="1"/>
    <col min="3" max="3" width="9.140625" style="8"/>
    <col min="4" max="4" width="10.5703125" style="8" customWidth="1"/>
    <col min="5" max="5" width="9" style="22" customWidth="1"/>
    <col min="6" max="6" width="7.7109375" style="22" customWidth="1"/>
    <col min="7" max="7" width="8.5703125" style="22" customWidth="1"/>
    <col min="8" max="8" width="8.140625" style="22" customWidth="1"/>
    <col min="9" max="9" width="7.42578125" style="22" customWidth="1"/>
    <col min="10" max="10" width="9.140625" style="22"/>
    <col min="11" max="11" width="14.140625" style="22" customWidth="1"/>
    <col min="12" max="16384" width="9.140625" style="22"/>
  </cols>
  <sheetData>
    <row r="1" spans="1:9" ht="15" x14ac:dyDescent="0.25">
      <c r="A1" s="370"/>
      <c r="B1" s="370"/>
      <c r="C1" s="370"/>
      <c r="D1" s="370"/>
      <c r="E1" s="370"/>
      <c r="F1" s="370"/>
      <c r="G1" s="372" t="s">
        <v>69</v>
      </c>
      <c r="H1" s="372"/>
      <c r="I1" s="372"/>
    </row>
    <row r="2" spans="1:9" ht="15" x14ac:dyDescent="0.25">
      <c r="A2" s="370"/>
      <c r="B2" s="370"/>
      <c r="C2" s="370"/>
      <c r="D2" s="370"/>
      <c r="E2" s="370"/>
      <c r="F2" s="370"/>
      <c r="G2" s="370"/>
      <c r="H2" s="370"/>
      <c r="I2" s="370"/>
    </row>
    <row r="3" spans="1:9" ht="15" x14ac:dyDescent="0.25">
      <c r="A3" s="370"/>
      <c r="B3" s="370"/>
      <c r="C3" s="370"/>
      <c r="D3" s="370"/>
      <c r="E3" s="370"/>
      <c r="F3" s="370"/>
      <c r="G3" s="370"/>
      <c r="H3" s="372" t="s">
        <v>84</v>
      </c>
      <c r="I3" s="372"/>
    </row>
    <row r="4" spans="1:9" ht="15" thickBot="1" x14ac:dyDescent="0.25">
      <c r="A4" s="371" t="s">
        <v>466</v>
      </c>
      <c r="B4" s="371"/>
      <c r="C4" s="371"/>
      <c r="D4" s="371"/>
      <c r="E4" s="371"/>
      <c r="F4" s="371"/>
      <c r="G4" s="371"/>
      <c r="H4" s="371"/>
      <c r="I4" s="371"/>
    </row>
    <row r="5" spans="1:9" ht="24" customHeight="1" thickBot="1" x14ac:dyDescent="0.25">
      <c r="A5" s="373" t="s">
        <v>86</v>
      </c>
      <c r="B5" s="374"/>
      <c r="C5" s="374"/>
      <c r="D5" s="374"/>
      <c r="E5" s="374"/>
      <c r="F5" s="374"/>
      <c r="G5" s="374"/>
      <c r="H5" s="374"/>
      <c r="I5" s="375"/>
    </row>
    <row r="6" spans="1:9" ht="15" customHeight="1" x14ac:dyDescent="0.2">
      <c r="A6" s="379"/>
      <c r="B6" s="368" t="s">
        <v>38</v>
      </c>
      <c r="C6" s="368" t="s">
        <v>99</v>
      </c>
      <c r="D6" s="368" t="s">
        <v>154</v>
      </c>
      <c r="E6" s="368" t="s">
        <v>53</v>
      </c>
      <c r="F6" s="376" t="s">
        <v>76</v>
      </c>
      <c r="G6" s="377"/>
      <c r="H6" s="377"/>
      <c r="I6" s="378"/>
    </row>
    <row r="7" spans="1:9" ht="44.25" customHeight="1" thickBot="1" x14ac:dyDescent="0.25">
      <c r="A7" s="380"/>
      <c r="B7" s="369"/>
      <c r="C7" s="369"/>
      <c r="D7" s="369"/>
      <c r="E7" s="369"/>
      <c r="F7" s="85" t="s">
        <v>72</v>
      </c>
      <c r="G7" s="85" t="s">
        <v>73</v>
      </c>
      <c r="H7" s="85" t="s">
        <v>74</v>
      </c>
      <c r="I7" s="86" t="s">
        <v>75</v>
      </c>
    </row>
    <row r="8" spans="1:9" ht="32.25" thickBot="1" x14ac:dyDescent="0.3">
      <c r="A8" s="147" t="s">
        <v>254</v>
      </c>
      <c r="B8" s="146"/>
      <c r="C8" s="198">
        <f>C10+SUM(C15:C17)</f>
        <v>50.5</v>
      </c>
      <c r="D8" s="198">
        <f>D10+SUM(D15:D17)</f>
        <v>1163.8</v>
      </c>
      <c r="E8" s="199">
        <f t="shared" ref="E8:E17" si="0">SUM(F8:I8)</f>
        <v>1873.3333333333333</v>
      </c>
      <c r="F8" s="200">
        <f>F10+SUM(F15:F17)</f>
        <v>717.5</v>
      </c>
      <c r="G8" s="200">
        <f>G10+SUM(G15:G17)</f>
        <v>385</v>
      </c>
      <c r="H8" s="200">
        <f>H10+SUM(H15:H17)</f>
        <v>385</v>
      </c>
      <c r="I8" s="217">
        <f>I10+SUM(I15:I17)</f>
        <v>385.83333333333331</v>
      </c>
    </row>
    <row r="9" spans="1:9" ht="16.5" thickBot="1" x14ac:dyDescent="0.3">
      <c r="A9" s="149" t="s">
        <v>255</v>
      </c>
      <c r="B9" s="150"/>
      <c r="C9" s="365"/>
      <c r="D9" s="366"/>
      <c r="E9" s="366"/>
      <c r="F9" s="366"/>
      <c r="G9" s="366"/>
      <c r="H9" s="366"/>
      <c r="I9" s="367"/>
    </row>
    <row r="10" spans="1:9" s="32" customFormat="1" ht="33" thickTop="1" thickBot="1" x14ac:dyDescent="0.3">
      <c r="A10" s="147" t="s">
        <v>3</v>
      </c>
      <c r="B10" s="148" t="s">
        <v>28</v>
      </c>
      <c r="C10" s="201">
        <f>SUM(C11:C14)</f>
        <v>50.5</v>
      </c>
      <c r="D10" s="201">
        <f>SUM(D11:D14)</f>
        <v>1163.8</v>
      </c>
      <c r="E10" s="202">
        <f t="shared" si="0"/>
        <v>1873.3333333333333</v>
      </c>
      <c r="F10" s="201">
        <f>SUM(F11:F14)</f>
        <v>717.5</v>
      </c>
      <c r="G10" s="201">
        <f>SUM(G11:G14)</f>
        <v>385</v>
      </c>
      <c r="H10" s="201">
        <f>SUM(H11:H14)</f>
        <v>385</v>
      </c>
      <c r="I10" s="203">
        <f>SUM(I11:I14)</f>
        <v>385.83333333333331</v>
      </c>
    </row>
    <row r="11" spans="1:9" s="23" customFormat="1" ht="15.75" x14ac:dyDescent="0.2">
      <c r="A11" s="121" t="s">
        <v>4</v>
      </c>
      <c r="B11" s="95" t="s">
        <v>29</v>
      </c>
      <c r="C11" s="204"/>
      <c r="D11" s="204">
        <v>1163.8</v>
      </c>
      <c r="E11" s="205">
        <f t="shared" si="0"/>
        <v>0</v>
      </c>
      <c r="F11" s="206"/>
      <c r="G11" s="206"/>
      <c r="H11" s="206"/>
      <c r="I11" s="207"/>
    </row>
    <row r="12" spans="1:9" s="23" customFormat="1" ht="31.5" x14ac:dyDescent="0.2">
      <c r="A12" s="93" t="s">
        <v>5</v>
      </c>
      <c r="B12" s="87" t="s">
        <v>30</v>
      </c>
      <c r="C12" s="208">
        <v>50.5</v>
      </c>
      <c r="D12" s="208"/>
      <c r="E12" s="209">
        <f t="shared" si="0"/>
        <v>1873.3333333333333</v>
      </c>
      <c r="F12" s="210">
        <f>фінплан!D105</f>
        <v>717.5</v>
      </c>
      <c r="G12" s="210">
        <f>фінплан!E105</f>
        <v>385</v>
      </c>
      <c r="H12" s="210">
        <f>фінплан!F105</f>
        <v>385</v>
      </c>
      <c r="I12" s="211">
        <f>фінплан!G105</f>
        <v>385.83333333333331</v>
      </c>
    </row>
    <row r="13" spans="1:9" s="23" customFormat="1" ht="47.25" x14ac:dyDescent="0.2">
      <c r="A13" s="93" t="s">
        <v>87</v>
      </c>
      <c r="B13" s="87" t="s">
        <v>31</v>
      </c>
      <c r="C13" s="212"/>
      <c r="D13" s="212"/>
      <c r="E13" s="209">
        <f t="shared" si="0"/>
        <v>0</v>
      </c>
      <c r="F13" s="210"/>
      <c r="G13" s="210"/>
      <c r="H13" s="210"/>
      <c r="I13" s="211"/>
    </row>
    <row r="14" spans="1:9" s="23" customFormat="1" ht="31.5" x14ac:dyDescent="0.2">
      <c r="A14" s="93" t="s">
        <v>6</v>
      </c>
      <c r="B14" s="87" t="s">
        <v>55</v>
      </c>
      <c r="C14" s="208"/>
      <c r="D14" s="208"/>
      <c r="E14" s="209">
        <f t="shared" si="0"/>
        <v>0</v>
      </c>
      <c r="F14" s="210"/>
      <c r="G14" s="210"/>
      <c r="H14" s="210"/>
      <c r="I14" s="211"/>
    </row>
    <row r="15" spans="1:9" s="23" customFormat="1" ht="63" x14ac:dyDescent="0.2">
      <c r="A15" s="93" t="s">
        <v>256</v>
      </c>
      <c r="B15" s="87" t="s">
        <v>56</v>
      </c>
      <c r="C15" s="208"/>
      <c r="D15" s="208"/>
      <c r="E15" s="209">
        <f t="shared" si="0"/>
        <v>0</v>
      </c>
      <c r="F15" s="210"/>
      <c r="G15" s="210"/>
      <c r="H15" s="210"/>
      <c r="I15" s="211"/>
    </row>
    <row r="16" spans="1:9" ht="31.5" x14ac:dyDescent="0.2">
      <c r="A16" s="93" t="s">
        <v>257</v>
      </c>
      <c r="B16" s="87" t="s">
        <v>57</v>
      </c>
      <c r="C16" s="208"/>
      <c r="D16" s="208"/>
      <c r="E16" s="209">
        <f t="shared" si="0"/>
        <v>0</v>
      </c>
      <c r="F16" s="210"/>
      <c r="G16" s="210"/>
      <c r="H16" s="210"/>
      <c r="I16" s="211"/>
    </row>
    <row r="17" spans="1:10" ht="16.5" thickBot="1" x14ac:dyDescent="0.25">
      <c r="A17" s="94" t="s">
        <v>258</v>
      </c>
      <c r="B17" s="88" t="s">
        <v>58</v>
      </c>
      <c r="C17" s="213"/>
      <c r="D17" s="213"/>
      <c r="E17" s="214">
        <f t="shared" si="0"/>
        <v>0</v>
      </c>
      <c r="F17" s="215"/>
      <c r="G17" s="215"/>
      <c r="H17" s="215"/>
      <c r="I17" s="216"/>
    </row>
    <row r="18" spans="1:10" x14ac:dyDescent="0.2">
      <c r="A18" s="49"/>
      <c r="B18" s="49"/>
      <c r="C18" s="49"/>
      <c r="D18" s="49"/>
      <c r="E18" s="89"/>
      <c r="F18" s="89"/>
      <c r="G18" s="89"/>
      <c r="H18" s="89"/>
      <c r="I18" s="89"/>
    </row>
    <row r="19" spans="1:10" x14ac:dyDescent="0.2">
      <c r="A19" s="49"/>
      <c r="B19" s="49"/>
      <c r="C19" s="49"/>
      <c r="D19" s="49"/>
      <c r="E19" s="89"/>
      <c r="F19" s="89"/>
      <c r="G19" s="89"/>
      <c r="H19" s="89"/>
      <c r="I19" s="89"/>
    </row>
    <row r="20" spans="1:10" x14ac:dyDescent="0.2">
      <c r="A20" s="49"/>
      <c r="B20" s="49"/>
      <c r="C20" s="49"/>
      <c r="D20" s="49"/>
      <c r="E20" s="89"/>
      <c r="F20" s="89"/>
      <c r="G20" s="89"/>
      <c r="H20" s="89"/>
      <c r="I20" s="89"/>
    </row>
    <row r="21" spans="1:10" x14ac:dyDescent="0.2">
      <c r="A21" s="49"/>
      <c r="B21" s="49"/>
      <c r="C21" s="49"/>
      <c r="D21" s="49"/>
      <c r="E21" s="89"/>
      <c r="F21" s="89"/>
      <c r="G21" s="89"/>
      <c r="H21" s="89"/>
      <c r="I21" s="89"/>
    </row>
    <row r="22" spans="1:10" s="34" customFormat="1" ht="15.75" x14ac:dyDescent="0.25">
      <c r="A22" s="82" t="s">
        <v>237</v>
      </c>
      <c r="B22" s="306"/>
      <c r="C22" s="306"/>
      <c r="D22" s="306"/>
      <c r="E22" s="306"/>
      <c r="F22" s="306" t="s">
        <v>461</v>
      </c>
      <c r="G22" s="306"/>
      <c r="H22" s="91"/>
      <c r="I22" s="91"/>
      <c r="J22" s="33"/>
    </row>
    <row r="23" spans="1:10" s="34" customFormat="1" x14ac:dyDescent="0.2">
      <c r="A23" s="92" t="s">
        <v>238</v>
      </c>
      <c r="B23" s="91"/>
      <c r="C23" s="91"/>
      <c r="D23" s="91"/>
      <c r="E23" s="91"/>
      <c r="F23" s="91"/>
      <c r="G23" s="91"/>
      <c r="H23" s="91"/>
      <c r="I23" s="91"/>
      <c r="J23" s="33"/>
    </row>
    <row r="24" spans="1:10" x14ac:dyDescent="0.2">
      <c r="A24" s="49"/>
      <c r="B24" s="45"/>
      <c r="C24" s="45"/>
      <c r="D24" s="45"/>
      <c r="E24" s="49"/>
      <c r="F24" s="49"/>
      <c r="G24" s="49"/>
      <c r="H24" s="49"/>
      <c r="I24" s="49"/>
    </row>
    <row r="25" spans="1:10" x14ac:dyDescent="0.2">
      <c r="A25" s="7"/>
    </row>
    <row r="26" spans="1:10" x14ac:dyDescent="0.2">
      <c r="A26" s="7"/>
    </row>
    <row r="27" spans="1:10" x14ac:dyDescent="0.2">
      <c r="A27" s="7"/>
    </row>
    <row r="28" spans="1:10" x14ac:dyDescent="0.2">
      <c r="A28" s="7"/>
    </row>
    <row r="29" spans="1:10" x14ac:dyDescent="0.2">
      <c r="A29" s="7"/>
    </row>
    <row r="30" spans="1:10" x14ac:dyDescent="0.2">
      <c r="A30" s="7"/>
    </row>
    <row r="31" spans="1:10" x14ac:dyDescent="0.2">
      <c r="A31" s="7"/>
    </row>
    <row r="32" spans="1:10" x14ac:dyDescent="0.2">
      <c r="A32" s="7"/>
    </row>
    <row r="33" spans="1:1" x14ac:dyDescent="0.2">
      <c r="A33" s="7"/>
    </row>
    <row r="34" spans="1:1" x14ac:dyDescent="0.2">
      <c r="A34" s="7"/>
    </row>
    <row r="35" spans="1:1" x14ac:dyDescent="0.2">
      <c r="A35" s="7"/>
    </row>
    <row r="36" spans="1:1" x14ac:dyDescent="0.2">
      <c r="A36" s="7"/>
    </row>
    <row r="37" spans="1:1" x14ac:dyDescent="0.2">
      <c r="A37" s="7"/>
    </row>
    <row r="38" spans="1:1" x14ac:dyDescent="0.2">
      <c r="A38" s="7"/>
    </row>
    <row r="39" spans="1:1" x14ac:dyDescent="0.2">
      <c r="A39" s="7"/>
    </row>
    <row r="40" spans="1:1" x14ac:dyDescent="0.2">
      <c r="A40" s="7"/>
    </row>
    <row r="41" spans="1:1" x14ac:dyDescent="0.2">
      <c r="A41" s="7"/>
    </row>
    <row r="42" spans="1:1" x14ac:dyDescent="0.2">
      <c r="A42" s="7"/>
    </row>
    <row r="43" spans="1:1" x14ac:dyDescent="0.2">
      <c r="A43" s="7"/>
    </row>
    <row r="44" spans="1:1" x14ac:dyDescent="0.2">
      <c r="A44" s="7"/>
    </row>
    <row r="45" spans="1:1" x14ac:dyDescent="0.2">
      <c r="A45" s="7"/>
    </row>
    <row r="46" spans="1:1" x14ac:dyDescent="0.2">
      <c r="A46" s="7"/>
    </row>
    <row r="47" spans="1:1" x14ac:dyDescent="0.2">
      <c r="A47" s="7"/>
    </row>
    <row r="48" spans="1:1" x14ac:dyDescent="0.2">
      <c r="A48" s="7"/>
    </row>
    <row r="49" spans="1:1" x14ac:dyDescent="0.2">
      <c r="A49" s="7"/>
    </row>
    <row r="50" spans="1:1" x14ac:dyDescent="0.2">
      <c r="A50" s="7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  <row r="59" spans="1:1" x14ac:dyDescent="0.2">
      <c r="A59" s="7"/>
    </row>
    <row r="60" spans="1:1" x14ac:dyDescent="0.2">
      <c r="A60" s="7"/>
    </row>
    <row r="61" spans="1:1" x14ac:dyDescent="0.2">
      <c r="A61" s="7"/>
    </row>
    <row r="62" spans="1:1" x14ac:dyDescent="0.2">
      <c r="A62" s="7"/>
    </row>
    <row r="63" spans="1:1" x14ac:dyDescent="0.2">
      <c r="A63" s="7"/>
    </row>
    <row r="64" spans="1:1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  <row r="75" spans="1:1" x14ac:dyDescent="0.2">
      <c r="A75" s="7"/>
    </row>
    <row r="76" spans="1:1" x14ac:dyDescent="0.2">
      <c r="A76" s="7"/>
    </row>
    <row r="77" spans="1:1" x14ac:dyDescent="0.2">
      <c r="A77" s="7"/>
    </row>
    <row r="78" spans="1:1" x14ac:dyDescent="0.2">
      <c r="A78" s="7"/>
    </row>
    <row r="79" spans="1:1" x14ac:dyDescent="0.2">
      <c r="A79" s="7"/>
    </row>
    <row r="80" spans="1:1" x14ac:dyDescent="0.2">
      <c r="A80" s="7"/>
    </row>
    <row r="81" spans="1:1" x14ac:dyDescent="0.2">
      <c r="A81" s="7"/>
    </row>
    <row r="82" spans="1:1" x14ac:dyDescent="0.2">
      <c r="A82" s="7"/>
    </row>
    <row r="83" spans="1:1" x14ac:dyDescent="0.2">
      <c r="A83" s="7"/>
    </row>
    <row r="84" spans="1:1" x14ac:dyDescent="0.2">
      <c r="A84" s="7"/>
    </row>
    <row r="85" spans="1:1" x14ac:dyDescent="0.2">
      <c r="A85" s="7"/>
    </row>
    <row r="86" spans="1:1" x14ac:dyDescent="0.2">
      <c r="A86" s="7"/>
    </row>
    <row r="87" spans="1:1" x14ac:dyDescent="0.2">
      <c r="A87" s="7"/>
    </row>
    <row r="88" spans="1:1" x14ac:dyDescent="0.2">
      <c r="A88" s="7"/>
    </row>
    <row r="89" spans="1:1" x14ac:dyDescent="0.2">
      <c r="A89" s="7"/>
    </row>
    <row r="90" spans="1:1" x14ac:dyDescent="0.2">
      <c r="A90" s="7"/>
    </row>
    <row r="91" spans="1:1" x14ac:dyDescent="0.2">
      <c r="A91" s="7"/>
    </row>
    <row r="92" spans="1:1" x14ac:dyDescent="0.2">
      <c r="A92" s="7"/>
    </row>
    <row r="93" spans="1:1" x14ac:dyDescent="0.2">
      <c r="A93" s="7"/>
    </row>
    <row r="94" spans="1:1" x14ac:dyDescent="0.2">
      <c r="A94" s="7"/>
    </row>
    <row r="95" spans="1:1" x14ac:dyDescent="0.2">
      <c r="A95" s="7"/>
    </row>
    <row r="96" spans="1:1" x14ac:dyDescent="0.2">
      <c r="A96" s="7"/>
    </row>
    <row r="97" spans="1:1" x14ac:dyDescent="0.2">
      <c r="A97" s="7"/>
    </row>
    <row r="98" spans="1:1" x14ac:dyDescent="0.2">
      <c r="A98" s="7"/>
    </row>
    <row r="99" spans="1:1" x14ac:dyDescent="0.2">
      <c r="A99" s="7"/>
    </row>
    <row r="100" spans="1:1" x14ac:dyDescent="0.2">
      <c r="A100" s="7"/>
    </row>
    <row r="101" spans="1:1" x14ac:dyDescent="0.2">
      <c r="A101" s="7"/>
    </row>
    <row r="102" spans="1:1" x14ac:dyDescent="0.2">
      <c r="A102" s="7"/>
    </row>
    <row r="103" spans="1:1" x14ac:dyDescent="0.2">
      <c r="A103" s="7"/>
    </row>
    <row r="104" spans="1:1" x14ac:dyDescent="0.2">
      <c r="A104" s="7"/>
    </row>
    <row r="105" spans="1:1" x14ac:dyDescent="0.2">
      <c r="A105" s="7"/>
    </row>
    <row r="106" spans="1:1" x14ac:dyDescent="0.2">
      <c r="A106" s="7"/>
    </row>
    <row r="107" spans="1:1" x14ac:dyDescent="0.2">
      <c r="A107" s="7"/>
    </row>
    <row r="108" spans="1:1" x14ac:dyDescent="0.2">
      <c r="A108" s="7"/>
    </row>
    <row r="109" spans="1:1" x14ac:dyDescent="0.2">
      <c r="A109" s="7"/>
    </row>
    <row r="110" spans="1:1" x14ac:dyDescent="0.2">
      <c r="A110" s="7"/>
    </row>
    <row r="111" spans="1:1" x14ac:dyDescent="0.2">
      <c r="A111" s="7"/>
    </row>
    <row r="112" spans="1:1" x14ac:dyDescent="0.2">
      <c r="A112" s="7"/>
    </row>
    <row r="113" spans="1:1" x14ac:dyDescent="0.2">
      <c r="A113" s="7"/>
    </row>
    <row r="114" spans="1:1" x14ac:dyDescent="0.2">
      <c r="A114" s="7"/>
    </row>
    <row r="115" spans="1:1" x14ac:dyDescent="0.2">
      <c r="A115" s="7"/>
    </row>
    <row r="116" spans="1:1" x14ac:dyDescent="0.2">
      <c r="A116" s="7"/>
    </row>
    <row r="117" spans="1:1" x14ac:dyDescent="0.2">
      <c r="A117" s="7"/>
    </row>
    <row r="118" spans="1:1" x14ac:dyDescent="0.2">
      <c r="A118" s="7"/>
    </row>
    <row r="119" spans="1:1" x14ac:dyDescent="0.2">
      <c r="A119" s="7"/>
    </row>
    <row r="120" spans="1:1" x14ac:dyDescent="0.2">
      <c r="A120" s="7"/>
    </row>
    <row r="121" spans="1:1" x14ac:dyDescent="0.2">
      <c r="A121" s="7"/>
    </row>
    <row r="122" spans="1:1" x14ac:dyDescent="0.2">
      <c r="A122" s="7"/>
    </row>
    <row r="123" spans="1:1" x14ac:dyDescent="0.2">
      <c r="A123" s="7"/>
    </row>
    <row r="124" spans="1:1" x14ac:dyDescent="0.2">
      <c r="A124" s="7"/>
    </row>
    <row r="125" spans="1:1" x14ac:dyDescent="0.2">
      <c r="A125" s="7"/>
    </row>
    <row r="126" spans="1:1" x14ac:dyDescent="0.2">
      <c r="A126" s="7"/>
    </row>
    <row r="127" spans="1:1" x14ac:dyDescent="0.2">
      <c r="A127" s="7"/>
    </row>
    <row r="128" spans="1:1" x14ac:dyDescent="0.2">
      <c r="A128" s="7"/>
    </row>
    <row r="129" spans="1:1" x14ac:dyDescent="0.2">
      <c r="A129" s="7"/>
    </row>
    <row r="130" spans="1:1" x14ac:dyDescent="0.2">
      <c r="A130" s="7"/>
    </row>
    <row r="131" spans="1:1" x14ac:dyDescent="0.2">
      <c r="A131" s="7"/>
    </row>
    <row r="132" spans="1:1" x14ac:dyDescent="0.2">
      <c r="A132" s="7"/>
    </row>
    <row r="133" spans="1:1" x14ac:dyDescent="0.2">
      <c r="A133" s="7"/>
    </row>
    <row r="134" spans="1:1" x14ac:dyDescent="0.2">
      <c r="A134" s="7"/>
    </row>
    <row r="135" spans="1:1" x14ac:dyDescent="0.2">
      <c r="A135" s="7"/>
    </row>
    <row r="136" spans="1:1" x14ac:dyDescent="0.2">
      <c r="A136" s="7"/>
    </row>
    <row r="137" spans="1:1" x14ac:dyDescent="0.2">
      <c r="A137" s="7"/>
    </row>
    <row r="138" spans="1:1" x14ac:dyDescent="0.2">
      <c r="A138" s="7"/>
    </row>
    <row r="139" spans="1:1" x14ac:dyDescent="0.2">
      <c r="A139" s="7"/>
    </row>
    <row r="140" spans="1:1" x14ac:dyDescent="0.2">
      <c r="A140" s="7"/>
    </row>
    <row r="141" spans="1:1" x14ac:dyDescent="0.2">
      <c r="A141" s="7"/>
    </row>
    <row r="142" spans="1:1" x14ac:dyDescent="0.2">
      <c r="A142" s="7"/>
    </row>
    <row r="143" spans="1:1" x14ac:dyDescent="0.2">
      <c r="A143" s="7"/>
    </row>
    <row r="144" spans="1:1" x14ac:dyDescent="0.2">
      <c r="A144" s="7"/>
    </row>
    <row r="145" spans="1:1" x14ac:dyDescent="0.2">
      <c r="A145" s="7"/>
    </row>
    <row r="146" spans="1:1" x14ac:dyDescent="0.2">
      <c r="A146" s="7"/>
    </row>
    <row r="147" spans="1:1" x14ac:dyDescent="0.2">
      <c r="A147" s="7"/>
    </row>
    <row r="148" spans="1:1" x14ac:dyDescent="0.2">
      <c r="A148" s="7"/>
    </row>
    <row r="149" spans="1:1" x14ac:dyDescent="0.2">
      <c r="A149" s="7"/>
    </row>
    <row r="150" spans="1:1" x14ac:dyDescent="0.2">
      <c r="A150" s="7"/>
    </row>
    <row r="151" spans="1:1" x14ac:dyDescent="0.2">
      <c r="A151" s="7"/>
    </row>
    <row r="152" spans="1:1" x14ac:dyDescent="0.2">
      <c r="A152" s="7"/>
    </row>
    <row r="153" spans="1:1" x14ac:dyDescent="0.2">
      <c r="A153" s="7"/>
    </row>
    <row r="154" spans="1:1" x14ac:dyDescent="0.2">
      <c r="A154" s="7"/>
    </row>
    <row r="155" spans="1:1" x14ac:dyDescent="0.2">
      <c r="A155" s="7"/>
    </row>
    <row r="156" spans="1:1" x14ac:dyDescent="0.2">
      <c r="A156" s="7"/>
    </row>
    <row r="157" spans="1:1" x14ac:dyDescent="0.2">
      <c r="A157" s="7"/>
    </row>
    <row r="158" spans="1:1" x14ac:dyDescent="0.2">
      <c r="A158" s="7"/>
    </row>
    <row r="159" spans="1:1" x14ac:dyDescent="0.2">
      <c r="A159" s="7"/>
    </row>
    <row r="160" spans="1:1" x14ac:dyDescent="0.2">
      <c r="A160" s="7"/>
    </row>
    <row r="161" spans="1:1" x14ac:dyDescent="0.2">
      <c r="A161" s="7"/>
    </row>
    <row r="162" spans="1:1" x14ac:dyDescent="0.2">
      <c r="A162" s="7"/>
    </row>
    <row r="163" spans="1:1" x14ac:dyDescent="0.2">
      <c r="A163" s="7"/>
    </row>
    <row r="164" spans="1:1" x14ac:dyDescent="0.2">
      <c r="A164" s="7"/>
    </row>
    <row r="165" spans="1:1" x14ac:dyDescent="0.2">
      <c r="A165" s="7"/>
    </row>
    <row r="166" spans="1:1" x14ac:dyDescent="0.2">
      <c r="A166" s="7"/>
    </row>
    <row r="167" spans="1:1" x14ac:dyDescent="0.2">
      <c r="A167" s="7"/>
    </row>
    <row r="168" spans="1:1" x14ac:dyDescent="0.2">
      <c r="A168" s="7"/>
    </row>
    <row r="169" spans="1:1" x14ac:dyDescent="0.2">
      <c r="A169" s="7"/>
    </row>
    <row r="170" spans="1:1" x14ac:dyDescent="0.2">
      <c r="A170" s="7"/>
    </row>
    <row r="171" spans="1:1" x14ac:dyDescent="0.2">
      <c r="A171" s="7"/>
    </row>
    <row r="172" spans="1:1" x14ac:dyDescent="0.2">
      <c r="A172" s="7"/>
    </row>
    <row r="173" spans="1:1" x14ac:dyDescent="0.2">
      <c r="A173" s="7"/>
    </row>
    <row r="174" spans="1:1" x14ac:dyDescent="0.2">
      <c r="A174" s="7"/>
    </row>
    <row r="175" spans="1:1" x14ac:dyDescent="0.2">
      <c r="A175" s="7"/>
    </row>
    <row r="176" spans="1:1" x14ac:dyDescent="0.2">
      <c r="A176" s="7"/>
    </row>
    <row r="177" spans="1:1" x14ac:dyDescent="0.2">
      <c r="A177" s="7"/>
    </row>
    <row r="178" spans="1:1" x14ac:dyDescent="0.2">
      <c r="A178" s="7"/>
    </row>
    <row r="179" spans="1:1" x14ac:dyDescent="0.2">
      <c r="A179" s="7"/>
    </row>
    <row r="180" spans="1:1" x14ac:dyDescent="0.2">
      <c r="A180" s="7"/>
    </row>
    <row r="181" spans="1:1" x14ac:dyDescent="0.2">
      <c r="A181" s="7"/>
    </row>
    <row r="182" spans="1:1" x14ac:dyDescent="0.2">
      <c r="A182" s="7"/>
    </row>
    <row r="183" spans="1:1" x14ac:dyDescent="0.2">
      <c r="A183" s="7"/>
    </row>
    <row r="184" spans="1:1" x14ac:dyDescent="0.2">
      <c r="A184" s="7"/>
    </row>
    <row r="185" spans="1:1" x14ac:dyDescent="0.2">
      <c r="A185" s="7"/>
    </row>
    <row r="186" spans="1:1" x14ac:dyDescent="0.2">
      <c r="A186" s="7"/>
    </row>
    <row r="187" spans="1:1" x14ac:dyDescent="0.2">
      <c r="A187" s="7"/>
    </row>
    <row r="188" spans="1:1" x14ac:dyDescent="0.2">
      <c r="A188" s="7"/>
    </row>
    <row r="189" spans="1:1" x14ac:dyDescent="0.2">
      <c r="A189" s="7"/>
    </row>
    <row r="190" spans="1:1" x14ac:dyDescent="0.2">
      <c r="A190" s="7"/>
    </row>
    <row r="191" spans="1:1" x14ac:dyDescent="0.2">
      <c r="A191" s="7"/>
    </row>
    <row r="192" spans="1:1" x14ac:dyDescent="0.2">
      <c r="A192" s="7"/>
    </row>
  </sheetData>
  <mergeCells count="14">
    <mergeCell ref="C9:I9"/>
    <mergeCell ref="B6:B7"/>
    <mergeCell ref="C6:C7"/>
    <mergeCell ref="A1:F1"/>
    <mergeCell ref="A2:I2"/>
    <mergeCell ref="A3:G3"/>
    <mergeCell ref="A4:I4"/>
    <mergeCell ref="G1:I1"/>
    <mergeCell ref="A5:I5"/>
    <mergeCell ref="D6:D7"/>
    <mergeCell ref="E6:E7"/>
    <mergeCell ref="F6:I6"/>
    <mergeCell ref="A6:A7"/>
    <mergeCell ref="H3:I3"/>
  </mergeCells>
  <phoneticPr fontId="0" type="noConversion"/>
  <pageMargins left="0.83" right="7.874015748031496E-2" top="0.98425196850393704" bottom="0.98425196850393704" header="0.51181102362204722" footer="0.51181102362204722"/>
  <pageSetup paperSize="9" scale="99" firstPageNumber="9" orientation="portrait" useFirstPageNumber="1" r:id="rId1"/>
  <headerFooter alignWithMargins="0"/>
  <ignoredErrors>
    <ignoredError sqref="B10:B17" numberStoredAsText="1"/>
    <ignoredError sqref="E10 E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6"/>
  <sheetViews>
    <sheetView topLeftCell="A13" zoomScale="80" zoomScaleNormal="80" workbookViewId="0">
      <selection sqref="A1:I21"/>
    </sheetView>
  </sheetViews>
  <sheetFormatPr defaultRowHeight="10.5" x14ac:dyDescent="0.2"/>
  <cols>
    <col min="1" max="1" width="29.140625" style="13" customWidth="1"/>
    <col min="2" max="2" width="10.42578125" style="14" customWidth="1"/>
    <col min="3" max="4" width="8.5703125" style="14" customWidth="1"/>
    <col min="5" max="6" width="8.5703125" style="13" customWidth="1"/>
    <col min="7" max="7" width="10" style="13" customWidth="1"/>
    <col min="8" max="8" width="9.140625" style="13"/>
    <col min="9" max="9" width="19.85546875" style="13" customWidth="1"/>
    <col min="10" max="10" width="9.140625" style="13"/>
    <col min="11" max="11" width="14.140625" style="13" customWidth="1"/>
    <col min="12" max="16384" width="9.140625" style="13"/>
  </cols>
  <sheetData>
    <row r="1" spans="1:9" ht="13.5" customHeight="1" x14ac:dyDescent="0.2">
      <c r="A1" s="384"/>
      <c r="B1" s="384"/>
      <c r="C1" s="384"/>
      <c r="D1" s="384"/>
      <c r="E1" s="384"/>
      <c r="F1" s="384"/>
      <c r="G1" s="384"/>
      <c r="H1" s="384"/>
      <c r="I1" s="141" t="s">
        <v>69</v>
      </c>
    </row>
    <row r="2" spans="1:9" ht="7.5" customHeight="1" x14ac:dyDescent="0.2">
      <c r="H2" s="16"/>
      <c r="I2" s="141"/>
    </row>
    <row r="3" spans="1:9" ht="14.25" customHeight="1" thickBot="1" x14ac:dyDescent="0.25">
      <c r="I3" s="142" t="s">
        <v>88</v>
      </c>
    </row>
    <row r="4" spans="1:9" ht="18" customHeight="1" thickBot="1" x14ac:dyDescent="0.25">
      <c r="A4" s="381" t="s">
        <v>89</v>
      </c>
      <c r="B4" s="382"/>
      <c r="C4" s="382"/>
      <c r="D4" s="382"/>
      <c r="E4" s="382"/>
      <c r="F4" s="382"/>
      <c r="G4" s="382"/>
      <c r="H4" s="382"/>
      <c r="I4" s="383"/>
    </row>
    <row r="5" spans="1:9" ht="63" customHeight="1" thickBot="1" x14ac:dyDescent="0.25">
      <c r="A5" s="218"/>
      <c r="B5" s="219" t="s">
        <v>241</v>
      </c>
      <c r="C5" s="219" t="s">
        <v>90</v>
      </c>
      <c r="D5" s="219" t="s">
        <v>91</v>
      </c>
      <c r="E5" s="219" t="s">
        <v>92</v>
      </c>
      <c r="F5" s="219" t="s">
        <v>93</v>
      </c>
      <c r="G5" s="219" t="s">
        <v>94</v>
      </c>
      <c r="H5" s="219" t="s">
        <v>95</v>
      </c>
      <c r="I5" s="219" t="s">
        <v>96</v>
      </c>
    </row>
    <row r="6" spans="1:9" ht="57" customHeight="1" thickTop="1" x14ac:dyDescent="0.2">
      <c r="A6" s="220" t="s">
        <v>276</v>
      </c>
      <c r="B6" s="221" t="s">
        <v>277</v>
      </c>
      <c r="C6" s="222">
        <f>1007/21145</f>
        <v>4.7623551667060768E-2</v>
      </c>
      <c r="D6" s="222">
        <f>323.2/22790.3</f>
        <v>1.4181471942010417E-2</v>
      </c>
      <c r="E6" s="223">
        <f>698.3/23649.8</f>
        <v>2.952667675836582E-2</v>
      </c>
      <c r="F6" s="223">
        <f>994.7/23734.5</f>
        <v>4.1909456698055576E-2</v>
      </c>
      <c r="G6" s="223">
        <f>540.9/23143.6</f>
        <v>2.3371472026823832E-2</v>
      </c>
      <c r="H6" s="223">
        <v>0</v>
      </c>
      <c r="I6" s="224" t="s">
        <v>242</v>
      </c>
    </row>
    <row r="7" spans="1:9" s="139" customFormat="1" ht="55.5" customHeight="1" x14ac:dyDescent="0.2">
      <c r="A7" s="96" t="s">
        <v>278</v>
      </c>
      <c r="B7" s="97" t="s">
        <v>249</v>
      </c>
      <c r="C7" s="135">
        <f>1007/13666</f>
        <v>7.3686521293721649E-2</v>
      </c>
      <c r="D7" s="135">
        <f>323.2/3492.7</f>
        <v>9.2535860509061763E-2</v>
      </c>
      <c r="E7" s="136">
        <f>698.3/6542.7</f>
        <v>0.10672963761138368</v>
      </c>
      <c r="F7" s="136">
        <f>994.7/10179.4</f>
        <v>9.7716957777472163E-2</v>
      </c>
      <c r="G7" s="136">
        <f>540.9/13627.4</f>
        <v>3.9692090934440906E-2</v>
      </c>
      <c r="H7" s="136">
        <v>0</v>
      </c>
      <c r="I7" s="116" t="s">
        <v>251</v>
      </c>
    </row>
    <row r="8" spans="1:9" s="139" customFormat="1" ht="55.5" customHeight="1" x14ac:dyDescent="0.2">
      <c r="A8" s="98" t="s">
        <v>245</v>
      </c>
      <c r="B8" s="97" t="s">
        <v>253</v>
      </c>
      <c r="C8" s="137">
        <f>2223/3432</f>
        <v>0.64772727272727271</v>
      </c>
      <c r="D8" s="137">
        <f>2430.5/7604.9</f>
        <v>0.31959657589185919</v>
      </c>
      <c r="E8" s="138">
        <f>2524/7378.8</f>
        <v>0.34206103973545832</v>
      </c>
      <c r="F8" s="138">
        <f>2451.5/7388.2</f>
        <v>0.33181289082591159</v>
      </c>
      <c r="G8" s="138">
        <f>2681.4/7402.8</f>
        <v>0.36221429729291621</v>
      </c>
      <c r="H8" s="138">
        <f>2211.7/7287.4</f>
        <v>0.30349644592035568</v>
      </c>
      <c r="I8" s="117" t="s">
        <v>244</v>
      </c>
    </row>
    <row r="9" spans="1:9" s="139" customFormat="1" ht="94.5" customHeight="1" x14ac:dyDescent="0.2">
      <c r="A9" s="98" t="s">
        <v>279</v>
      </c>
      <c r="B9" s="97" t="s">
        <v>248</v>
      </c>
      <c r="C9" s="137">
        <f>3979/3432</f>
        <v>1.1593822843822843</v>
      </c>
      <c r="D9" s="137">
        <f>4192.3/7604.9</f>
        <v>0.55126300148588414</v>
      </c>
      <c r="E9" s="138">
        <f>4400.8/7378.8</f>
        <v>0.5964113405973871</v>
      </c>
      <c r="F9" s="138">
        <f>4806.2/7388.2</f>
        <v>0.65052380823475275</v>
      </c>
      <c r="G9" s="138">
        <f>4450.1/7402.8</f>
        <v>0.60113740746744482</v>
      </c>
      <c r="H9" s="138">
        <f>4106.3/7287.4</f>
        <v>0.56347943024947178</v>
      </c>
      <c r="I9" s="117" t="s">
        <v>280</v>
      </c>
    </row>
    <row r="10" spans="1:9" s="139" customFormat="1" ht="91.5" customHeight="1" x14ac:dyDescent="0.2">
      <c r="A10" s="96" t="s">
        <v>281</v>
      </c>
      <c r="B10" s="97" t="s">
        <v>248</v>
      </c>
      <c r="C10" s="135">
        <f>(13039+4674)/(4674+3432)</f>
        <v>2.1851714779175917</v>
      </c>
      <c r="D10" s="135">
        <f>(14860.4+325)/(325+7604.9)</f>
        <v>1.9149547913592857</v>
      </c>
      <c r="E10" s="136">
        <f>(15970.4+300.6)/(300.6+7378.8)</f>
        <v>2.1187853217699297</v>
      </c>
      <c r="F10" s="136">
        <f>(16029.6+316.7)/(316.7+7388.2)</f>
        <v>2.1215460291502812</v>
      </c>
      <c r="G10" s="136">
        <f>(15312.4+428.4)/(428.4+7402.8)</f>
        <v>2.0100112371028707</v>
      </c>
      <c r="H10" s="136">
        <f>(14706.4+480.4)/(480.4+7287.4)</f>
        <v>1.955096681170988</v>
      </c>
      <c r="I10" s="116" t="s">
        <v>246</v>
      </c>
    </row>
    <row r="11" spans="1:9" s="139" customFormat="1" ht="84" x14ac:dyDescent="0.2">
      <c r="A11" s="96" t="s">
        <v>282</v>
      </c>
      <c r="B11" s="97" t="s">
        <v>247</v>
      </c>
      <c r="C11" s="135">
        <f>(13039+4674)/21145</f>
        <v>0.83769212579806096</v>
      </c>
      <c r="D11" s="135">
        <f>(14860.4+325)/22790.3</f>
        <v>0.66630978969122834</v>
      </c>
      <c r="E11" s="136">
        <f>(15970.4+300.6)/23649.8</f>
        <v>0.68799736149988588</v>
      </c>
      <c r="F11" s="136">
        <f>(16029.6+316.7)/23734.5</f>
        <v>0.68871474014620071</v>
      </c>
      <c r="G11" s="136">
        <f>(15312.4+428.4)/23143.6</f>
        <v>0.68013619315923191</v>
      </c>
      <c r="H11" s="136">
        <f>(14706.4+480.4)/22474.2</f>
        <v>0.67574374171271945</v>
      </c>
      <c r="I11" s="116" t="s">
        <v>250</v>
      </c>
    </row>
    <row r="12" spans="1:9" s="140" customFormat="1" ht="122.25" customHeight="1" x14ac:dyDescent="0.2">
      <c r="A12" s="96" t="s">
        <v>283</v>
      </c>
      <c r="B12" s="97" t="s">
        <v>284</v>
      </c>
      <c r="C12" s="135">
        <f>(4674+3432)/(13039+4674)</f>
        <v>0.45762998927341503</v>
      </c>
      <c r="D12" s="135">
        <f>(325+7604.9)/(14860.4+325)</f>
        <v>0.52220553953139204</v>
      </c>
      <c r="E12" s="136">
        <f>(300.6+7378.8)/(15970.4+300.6)</f>
        <v>0.47196853297277369</v>
      </c>
      <c r="F12" s="136">
        <f>(316.7+7388.2)/(16029.6+316.7)</f>
        <v>0.47135437377265799</v>
      </c>
      <c r="G12" s="136">
        <f>(428.4+7402.8)/(15312.4+428.4)</f>
        <v>0.49750965643423462</v>
      </c>
      <c r="H12" s="136">
        <f>(480.4+7287.4)/(14706.4+480.4)</f>
        <v>0.5114836568599046</v>
      </c>
      <c r="I12" s="116" t="s">
        <v>285</v>
      </c>
    </row>
    <row r="13" spans="1:9" s="140" customFormat="1" ht="78.75" customHeight="1" x14ac:dyDescent="0.2">
      <c r="A13" s="96" t="s">
        <v>286</v>
      </c>
      <c r="B13" s="225" t="s">
        <v>287</v>
      </c>
      <c r="C13" s="310">
        <f>4674/3432*100</f>
        <v>136.1888111888112</v>
      </c>
      <c r="D13" s="135">
        <f>325/7604.9*100</f>
        <v>4.2735604675932626</v>
      </c>
      <c r="E13" s="136">
        <f>300.6/7378.8*100</f>
        <v>4.0738331436005861</v>
      </c>
      <c r="F13" s="136">
        <f>(316.7/7388.2)*100</f>
        <v>4.2865650632089007</v>
      </c>
      <c r="G13" s="136">
        <f>(428.4/7402.8)*100</f>
        <v>5.7869995136975199</v>
      </c>
      <c r="H13" s="136">
        <f>480.4/7287.4*100</f>
        <v>6.5922002360238219</v>
      </c>
      <c r="I13" s="116" t="s">
        <v>252</v>
      </c>
    </row>
    <row r="14" spans="1:9" s="140" customFormat="1" ht="67.5" customHeight="1" thickBot="1" x14ac:dyDescent="0.25">
      <c r="A14" s="226" t="s">
        <v>288</v>
      </c>
      <c r="B14" s="227" t="s">
        <v>289</v>
      </c>
      <c r="C14" s="228">
        <f>1631/13365</f>
        <v>0.12203516647961092</v>
      </c>
      <c r="D14" s="228">
        <f>1919.8/19366.6</f>
        <v>9.9129429016967363E-2</v>
      </c>
      <c r="E14" s="229">
        <f>2240.8/19366.6</f>
        <v>0.11570435698573835</v>
      </c>
      <c r="F14" s="229">
        <f>2561.5/19366.6</f>
        <v>0.13226379436762262</v>
      </c>
      <c r="G14" s="229">
        <f>2883.3/19429.8</f>
        <v>0.1483957632090912</v>
      </c>
      <c r="H14" s="229">
        <f>3208.9/19453.6</f>
        <v>0.16495147427725462</v>
      </c>
      <c r="I14" s="230" t="s">
        <v>243</v>
      </c>
    </row>
    <row r="18" spans="1:10" s="17" customFormat="1" ht="15.75" x14ac:dyDescent="0.25">
      <c r="A18" s="27" t="s">
        <v>290</v>
      </c>
      <c r="B18" s="309"/>
      <c r="C18" s="309"/>
      <c r="D18" s="309"/>
      <c r="E18" s="309"/>
      <c r="F18" s="309"/>
      <c r="G18" s="309"/>
      <c r="H18" s="309"/>
      <c r="I18" s="309" t="s">
        <v>467</v>
      </c>
      <c r="J18" s="30"/>
    </row>
    <row r="19" spans="1:10" s="17" customFormat="1" ht="11.25" x14ac:dyDescent="0.2">
      <c r="A19" s="31" t="s">
        <v>291</v>
      </c>
      <c r="B19" s="30"/>
      <c r="C19" s="30"/>
      <c r="D19" s="30"/>
      <c r="E19" s="30"/>
      <c r="F19" s="30"/>
      <c r="G19" s="30"/>
      <c r="H19" s="30"/>
      <c r="I19" s="30"/>
      <c r="J19" s="30"/>
    </row>
    <row r="20" spans="1:10" x14ac:dyDescent="0.2">
      <c r="A20" s="15"/>
    </row>
    <row r="21" spans="1:10" x14ac:dyDescent="0.2">
      <c r="A21" s="15"/>
    </row>
    <row r="22" spans="1:10" x14ac:dyDescent="0.2">
      <c r="A22" s="15"/>
    </row>
    <row r="23" spans="1:10" x14ac:dyDescent="0.2">
      <c r="A23" s="15"/>
    </row>
    <row r="24" spans="1:10" x14ac:dyDescent="0.2">
      <c r="A24" s="15"/>
    </row>
    <row r="25" spans="1:10" x14ac:dyDescent="0.2">
      <c r="A25" s="15"/>
    </row>
    <row r="26" spans="1:10" x14ac:dyDescent="0.2">
      <c r="A26" s="15"/>
    </row>
    <row r="27" spans="1:10" x14ac:dyDescent="0.2">
      <c r="A27" s="15"/>
    </row>
    <row r="28" spans="1:10" x14ac:dyDescent="0.2">
      <c r="A28" s="15"/>
    </row>
    <row r="29" spans="1:10" x14ac:dyDescent="0.2">
      <c r="A29" s="15"/>
    </row>
    <row r="30" spans="1:10" x14ac:dyDescent="0.2">
      <c r="A30" s="15"/>
    </row>
    <row r="31" spans="1:10" x14ac:dyDescent="0.2">
      <c r="A31" s="15"/>
    </row>
    <row r="32" spans="1:10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5"/>
    </row>
    <row r="47" spans="1:1" x14ac:dyDescent="0.2">
      <c r="A47" s="15"/>
    </row>
    <row r="48" spans="1:1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5"/>
    </row>
    <row r="63" spans="1:1" x14ac:dyDescent="0.2">
      <c r="A63" s="15"/>
    </row>
    <row r="64" spans="1: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  <row r="91" spans="1:1" x14ac:dyDescent="0.2">
      <c r="A91" s="15"/>
    </row>
    <row r="92" spans="1:1" x14ac:dyDescent="0.2">
      <c r="A92" s="15"/>
    </row>
    <row r="93" spans="1:1" x14ac:dyDescent="0.2">
      <c r="A93" s="15"/>
    </row>
    <row r="94" spans="1:1" x14ac:dyDescent="0.2">
      <c r="A94" s="15"/>
    </row>
    <row r="95" spans="1:1" x14ac:dyDescent="0.2">
      <c r="A95" s="15"/>
    </row>
    <row r="96" spans="1:1" x14ac:dyDescent="0.2">
      <c r="A96" s="15"/>
    </row>
    <row r="97" spans="1:1" x14ac:dyDescent="0.2">
      <c r="A97" s="15"/>
    </row>
    <row r="98" spans="1:1" x14ac:dyDescent="0.2">
      <c r="A98" s="15"/>
    </row>
    <row r="99" spans="1:1" x14ac:dyDescent="0.2">
      <c r="A99" s="15"/>
    </row>
    <row r="100" spans="1:1" x14ac:dyDescent="0.2">
      <c r="A100" s="15"/>
    </row>
    <row r="101" spans="1:1" x14ac:dyDescent="0.2">
      <c r="A101" s="15"/>
    </row>
    <row r="102" spans="1:1" x14ac:dyDescent="0.2">
      <c r="A102" s="15"/>
    </row>
    <row r="103" spans="1:1" x14ac:dyDescent="0.2">
      <c r="A103" s="15"/>
    </row>
    <row r="104" spans="1:1" x14ac:dyDescent="0.2">
      <c r="A104" s="15"/>
    </row>
    <row r="105" spans="1:1" x14ac:dyDescent="0.2">
      <c r="A105" s="15"/>
    </row>
    <row r="106" spans="1:1" x14ac:dyDescent="0.2">
      <c r="A106" s="15"/>
    </row>
    <row r="107" spans="1:1" x14ac:dyDescent="0.2">
      <c r="A107" s="15"/>
    </row>
    <row r="108" spans="1:1" x14ac:dyDescent="0.2">
      <c r="A108" s="15"/>
    </row>
    <row r="109" spans="1:1" x14ac:dyDescent="0.2">
      <c r="A109" s="15"/>
    </row>
    <row r="110" spans="1:1" x14ac:dyDescent="0.2">
      <c r="A110" s="15"/>
    </row>
    <row r="111" spans="1:1" x14ac:dyDescent="0.2">
      <c r="A111" s="15"/>
    </row>
    <row r="112" spans="1:1" x14ac:dyDescent="0.2">
      <c r="A112" s="15"/>
    </row>
    <row r="113" spans="1:1" x14ac:dyDescent="0.2">
      <c r="A113" s="15"/>
    </row>
    <row r="114" spans="1:1" x14ac:dyDescent="0.2">
      <c r="A114" s="15"/>
    </row>
    <row r="115" spans="1:1" x14ac:dyDescent="0.2">
      <c r="A115" s="15"/>
    </row>
    <row r="116" spans="1:1" x14ac:dyDescent="0.2">
      <c r="A116" s="15"/>
    </row>
    <row r="117" spans="1:1" x14ac:dyDescent="0.2">
      <c r="A117" s="15"/>
    </row>
    <row r="118" spans="1:1" x14ac:dyDescent="0.2">
      <c r="A118" s="15"/>
    </row>
    <row r="119" spans="1:1" x14ac:dyDescent="0.2">
      <c r="A119" s="15"/>
    </row>
    <row r="120" spans="1:1" x14ac:dyDescent="0.2">
      <c r="A120" s="15"/>
    </row>
    <row r="121" spans="1:1" x14ac:dyDescent="0.2">
      <c r="A121" s="15"/>
    </row>
    <row r="122" spans="1:1" x14ac:dyDescent="0.2">
      <c r="A122" s="15"/>
    </row>
    <row r="123" spans="1:1" x14ac:dyDescent="0.2">
      <c r="A123" s="15"/>
    </row>
    <row r="124" spans="1:1" x14ac:dyDescent="0.2">
      <c r="A124" s="15"/>
    </row>
    <row r="125" spans="1:1" x14ac:dyDescent="0.2">
      <c r="A125" s="15"/>
    </row>
    <row r="126" spans="1:1" x14ac:dyDescent="0.2">
      <c r="A126" s="15"/>
    </row>
    <row r="127" spans="1:1" x14ac:dyDescent="0.2">
      <c r="A127" s="15"/>
    </row>
    <row r="128" spans="1:1" x14ac:dyDescent="0.2">
      <c r="A128" s="15"/>
    </row>
    <row r="129" spans="1:1" x14ac:dyDescent="0.2">
      <c r="A129" s="15"/>
    </row>
    <row r="130" spans="1:1" x14ac:dyDescent="0.2">
      <c r="A130" s="15"/>
    </row>
    <row r="131" spans="1:1" x14ac:dyDescent="0.2">
      <c r="A131" s="15"/>
    </row>
    <row r="132" spans="1:1" x14ac:dyDescent="0.2">
      <c r="A132" s="15"/>
    </row>
    <row r="133" spans="1:1" x14ac:dyDescent="0.2">
      <c r="A133" s="15"/>
    </row>
    <row r="134" spans="1:1" x14ac:dyDescent="0.2">
      <c r="A134" s="15"/>
    </row>
    <row r="135" spans="1:1" x14ac:dyDescent="0.2">
      <c r="A135" s="15"/>
    </row>
    <row r="136" spans="1:1" x14ac:dyDescent="0.2">
      <c r="A136" s="15"/>
    </row>
    <row r="137" spans="1:1" x14ac:dyDescent="0.2">
      <c r="A137" s="15"/>
    </row>
    <row r="138" spans="1:1" x14ac:dyDescent="0.2">
      <c r="A138" s="15"/>
    </row>
    <row r="139" spans="1:1" x14ac:dyDescent="0.2">
      <c r="A139" s="15"/>
    </row>
    <row r="140" spans="1:1" x14ac:dyDescent="0.2">
      <c r="A140" s="15"/>
    </row>
    <row r="141" spans="1:1" x14ac:dyDescent="0.2">
      <c r="A141" s="15"/>
    </row>
    <row r="142" spans="1:1" x14ac:dyDescent="0.2">
      <c r="A142" s="15"/>
    </row>
    <row r="143" spans="1:1" x14ac:dyDescent="0.2">
      <c r="A143" s="15"/>
    </row>
    <row r="144" spans="1:1" x14ac:dyDescent="0.2">
      <c r="A144" s="15"/>
    </row>
    <row r="145" spans="1:1" x14ac:dyDescent="0.2">
      <c r="A145" s="15"/>
    </row>
    <row r="146" spans="1:1" x14ac:dyDescent="0.2">
      <c r="A146" s="15"/>
    </row>
    <row r="147" spans="1:1" x14ac:dyDescent="0.2">
      <c r="A147" s="15"/>
    </row>
    <row r="148" spans="1:1" x14ac:dyDescent="0.2">
      <c r="A148" s="15"/>
    </row>
    <row r="149" spans="1:1" x14ac:dyDescent="0.2">
      <c r="A149" s="15"/>
    </row>
    <row r="150" spans="1:1" x14ac:dyDescent="0.2">
      <c r="A150" s="15"/>
    </row>
    <row r="151" spans="1:1" x14ac:dyDescent="0.2">
      <c r="A151" s="15"/>
    </row>
    <row r="152" spans="1:1" x14ac:dyDescent="0.2">
      <c r="A152" s="15"/>
    </row>
    <row r="153" spans="1:1" x14ac:dyDescent="0.2">
      <c r="A153" s="15"/>
    </row>
    <row r="154" spans="1:1" x14ac:dyDescent="0.2">
      <c r="A154" s="15"/>
    </row>
    <row r="155" spans="1:1" x14ac:dyDescent="0.2">
      <c r="A155" s="15"/>
    </row>
    <row r="156" spans="1:1" x14ac:dyDescent="0.2">
      <c r="A156" s="15"/>
    </row>
    <row r="157" spans="1:1" x14ac:dyDescent="0.2">
      <c r="A157" s="15"/>
    </row>
    <row r="158" spans="1:1" x14ac:dyDescent="0.2">
      <c r="A158" s="15"/>
    </row>
    <row r="159" spans="1:1" x14ac:dyDescent="0.2">
      <c r="A159" s="15"/>
    </row>
    <row r="160" spans="1:1" x14ac:dyDescent="0.2">
      <c r="A160" s="15"/>
    </row>
    <row r="161" spans="1:1" x14ac:dyDescent="0.2">
      <c r="A161" s="15"/>
    </row>
    <row r="162" spans="1:1" x14ac:dyDescent="0.2">
      <c r="A162" s="15"/>
    </row>
    <row r="163" spans="1:1" x14ac:dyDescent="0.2">
      <c r="A163" s="15"/>
    </row>
    <row r="164" spans="1:1" x14ac:dyDescent="0.2">
      <c r="A164" s="15"/>
    </row>
    <row r="165" spans="1:1" x14ac:dyDescent="0.2">
      <c r="A165" s="15"/>
    </row>
    <row r="166" spans="1:1" x14ac:dyDescent="0.2">
      <c r="A166" s="15"/>
    </row>
    <row r="167" spans="1:1" x14ac:dyDescent="0.2">
      <c r="A167" s="15"/>
    </row>
    <row r="168" spans="1:1" x14ac:dyDescent="0.2">
      <c r="A168" s="15"/>
    </row>
    <row r="169" spans="1:1" x14ac:dyDescent="0.2">
      <c r="A169" s="15"/>
    </row>
    <row r="170" spans="1:1" x14ac:dyDescent="0.2">
      <c r="A170" s="15"/>
    </row>
    <row r="171" spans="1:1" x14ac:dyDescent="0.2">
      <c r="A171" s="15"/>
    </row>
    <row r="172" spans="1:1" x14ac:dyDescent="0.2">
      <c r="A172" s="15"/>
    </row>
    <row r="173" spans="1:1" x14ac:dyDescent="0.2">
      <c r="A173" s="15"/>
    </row>
    <row r="174" spans="1:1" x14ac:dyDescent="0.2">
      <c r="A174" s="15"/>
    </row>
    <row r="175" spans="1:1" x14ac:dyDescent="0.2">
      <c r="A175" s="15"/>
    </row>
    <row r="176" spans="1:1" x14ac:dyDescent="0.2">
      <c r="A176" s="15"/>
    </row>
    <row r="177" spans="1:1" x14ac:dyDescent="0.2">
      <c r="A177" s="15"/>
    </row>
    <row r="178" spans="1:1" x14ac:dyDescent="0.2">
      <c r="A178" s="15"/>
    </row>
    <row r="179" spans="1:1" x14ac:dyDescent="0.2">
      <c r="A179" s="15"/>
    </row>
    <row r="180" spans="1:1" x14ac:dyDescent="0.2">
      <c r="A180" s="15"/>
    </row>
    <row r="181" spans="1:1" x14ac:dyDescent="0.2">
      <c r="A181" s="15"/>
    </row>
    <row r="182" spans="1:1" x14ac:dyDescent="0.2">
      <c r="A182" s="15"/>
    </row>
    <row r="183" spans="1:1" x14ac:dyDescent="0.2">
      <c r="A183" s="15"/>
    </row>
    <row r="184" spans="1:1" x14ac:dyDescent="0.2">
      <c r="A184" s="15"/>
    </row>
    <row r="185" spans="1:1" x14ac:dyDescent="0.2">
      <c r="A185" s="15"/>
    </row>
    <row r="186" spans="1:1" x14ac:dyDescent="0.2">
      <c r="A186" s="15"/>
    </row>
  </sheetData>
  <mergeCells count="2">
    <mergeCell ref="A4:I4"/>
    <mergeCell ref="A1:H1"/>
  </mergeCells>
  <phoneticPr fontId="9" type="noConversion"/>
  <pageMargins left="0.35433070866141736" right="0" top="0.19685039370078741" bottom="0.19685039370078741" header="0.11811023622047245" footer="0.11811023622047245"/>
  <pageSetup paperSize="9" scale="8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5"/>
  <sheetViews>
    <sheetView topLeftCell="A56" workbookViewId="0">
      <selection sqref="A1:J59"/>
    </sheetView>
  </sheetViews>
  <sheetFormatPr defaultRowHeight="9.75" x14ac:dyDescent="0.2"/>
  <cols>
    <col min="1" max="1" width="29.5703125" style="18" customWidth="1"/>
    <col min="2" max="2" width="6.140625" style="18" customWidth="1"/>
    <col min="3" max="4" width="9.7109375" style="18" customWidth="1"/>
    <col min="5" max="5" width="10.5703125" style="18" customWidth="1"/>
    <col min="6" max="10" width="9.7109375" style="18" customWidth="1"/>
    <col min="11" max="16384" width="9.140625" style="18"/>
  </cols>
  <sheetData>
    <row r="1" spans="1:11" ht="12.75" customHeight="1" x14ac:dyDescent="0.2">
      <c r="A1" s="400"/>
      <c r="B1" s="400"/>
      <c r="C1" s="400"/>
      <c r="D1" s="400"/>
      <c r="E1" s="400"/>
      <c r="F1" s="400"/>
      <c r="G1" s="400"/>
      <c r="H1" s="400"/>
      <c r="I1" s="387" t="s">
        <v>69</v>
      </c>
      <c r="J1" s="387"/>
    </row>
    <row r="2" spans="1:11" ht="9" customHeight="1" x14ac:dyDescent="0.2">
      <c r="A2" s="400"/>
      <c r="B2" s="400"/>
      <c r="C2" s="400"/>
      <c r="D2" s="400"/>
      <c r="E2" s="400"/>
      <c r="F2" s="400"/>
      <c r="G2" s="400"/>
      <c r="H2" s="400"/>
      <c r="I2" s="400"/>
      <c r="J2" s="400"/>
    </row>
    <row r="3" spans="1:11" ht="12.75" thickBot="1" x14ac:dyDescent="0.25">
      <c r="A3" s="401" t="s">
        <v>499</v>
      </c>
      <c r="B3" s="401"/>
      <c r="C3" s="401"/>
      <c r="D3" s="401"/>
      <c r="E3" s="401"/>
      <c r="F3" s="401"/>
      <c r="G3" s="401"/>
      <c r="H3" s="401"/>
      <c r="I3" s="401"/>
      <c r="J3" s="120" t="s">
        <v>97</v>
      </c>
    </row>
    <row r="4" spans="1:11" ht="18.75" customHeight="1" thickBot="1" x14ac:dyDescent="0.25">
      <c r="A4" s="390" t="s">
        <v>98</v>
      </c>
      <c r="B4" s="391"/>
      <c r="C4" s="391"/>
      <c r="D4" s="391"/>
      <c r="E4" s="391"/>
      <c r="F4" s="391"/>
      <c r="G4" s="391"/>
      <c r="H4" s="391"/>
      <c r="I4" s="391"/>
      <c r="J4" s="392"/>
    </row>
    <row r="5" spans="1:11" ht="32.25" customHeight="1" x14ac:dyDescent="0.2">
      <c r="A5" s="388"/>
      <c r="B5" s="397" t="s">
        <v>2</v>
      </c>
      <c r="C5" s="393" t="s">
        <v>99</v>
      </c>
      <c r="D5" s="393" t="s">
        <v>107</v>
      </c>
      <c r="E5" s="393" t="s">
        <v>100</v>
      </c>
      <c r="F5" s="395" t="s">
        <v>108</v>
      </c>
      <c r="G5" s="395" t="s">
        <v>101</v>
      </c>
      <c r="H5" s="395"/>
      <c r="I5" s="395"/>
      <c r="J5" s="396"/>
    </row>
    <row r="6" spans="1:11" ht="36.75" customHeight="1" thickBot="1" x14ac:dyDescent="0.25">
      <c r="A6" s="389"/>
      <c r="B6" s="398"/>
      <c r="C6" s="394"/>
      <c r="D6" s="394"/>
      <c r="E6" s="394"/>
      <c r="F6" s="399"/>
      <c r="G6" s="133" t="s">
        <v>105</v>
      </c>
      <c r="H6" s="133" t="s">
        <v>73</v>
      </c>
      <c r="I6" s="133" t="s">
        <v>74</v>
      </c>
      <c r="J6" s="134" t="s">
        <v>106</v>
      </c>
    </row>
    <row r="7" spans="1:11" s="20" customFormat="1" ht="12" x14ac:dyDescent="0.2">
      <c r="A7" s="125" t="s">
        <v>102</v>
      </c>
      <c r="B7" s="130"/>
      <c r="C7" s="131"/>
      <c r="D7" s="131"/>
      <c r="E7" s="131"/>
      <c r="F7" s="131"/>
      <c r="G7" s="131"/>
      <c r="H7" s="131"/>
      <c r="I7" s="131"/>
      <c r="J7" s="132"/>
    </row>
    <row r="8" spans="1:11" s="119" customFormat="1" ht="24.75" customHeight="1" x14ac:dyDescent="0.2">
      <c r="A8" s="126" t="s">
        <v>222</v>
      </c>
      <c r="B8" s="122" t="s">
        <v>28</v>
      </c>
      <c r="C8" s="231">
        <v>16773</v>
      </c>
      <c r="D8" s="231">
        <f>SUM(D9:D16)</f>
        <v>16563.199999999997</v>
      </c>
      <c r="E8" s="231">
        <f>SUM(E9:E16)</f>
        <v>17155.7</v>
      </c>
      <c r="F8" s="232">
        <f t="shared" ref="F8:F52" si="0">SUM(G8:J8)</f>
        <v>22213.4</v>
      </c>
      <c r="G8" s="330">
        <f>SUM(G9:G16)</f>
        <v>4901.1999999999989</v>
      </c>
      <c r="H8" s="330">
        <f>SUM(H9:H16)</f>
        <v>5666.5</v>
      </c>
      <c r="I8" s="330">
        <f>SUM(I9:I16)</f>
        <v>5857.7000000000007</v>
      </c>
      <c r="J8" s="331">
        <f>SUM(J9:J16)</f>
        <v>5788</v>
      </c>
      <c r="K8" s="118"/>
    </row>
    <row r="9" spans="1:11" s="20" customFormat="1" ht="24" x14ac:dyDescent="0.2">
      <c r="A9" s="127" t="s">
        <v>240</v>
      </c>
      <c r="B9" s="123" t="s">
        <v>29</v>
      </c>
      <c r="C9" s="231">
        <v>16166.2</v>
      </c>
      <c r="D9" s="231">
        <f>15492.8-233.2-114.6</f>
        <v>15144.999999999998</v>
      </c>
      <c r="E9" s="231">
        <f>15145+569</f>
        <v>15714</v>
      </c>
      <c r="F9" s="234">
        <f>SUM(G9:J9)</f>
        <v>19816</v>
      </c>
      <c r="G9" s="330">
        <f>3247.1+425.2+800+175.9-157.5-18.4</f>
        <v>4472.2999999999993</v>
      </c>
      <c r="H9" s="330">
        <f>3870.8+427.4+700+244.8-181.1-63.7</f>
        <v>4998.2</v>
      </c>
      <c r="I9" s="330">
        <f>3801+423.6+1000+228.1-181.1-47</f>
        <v>5224.6000000000004</v>
      </c>
      <c r="J9" s="331">
        <f>3887.1+433.8+800+214.5-181.1-33.4</f>
        <v>5120.8999999999996</v>
      </c>
      <c r="K9" s="29"/>
    </row>
    <row r="10" spans="1:11" s="20" customFormat="1" ht="12" x14ac:dyDescent="0.2">
      <c r="A10" s="127" t="s">
        <v>109</v>
      </c>
      <c r="B10" s="123" t="s">
        <v>30</v>
      </c>
      <c r="C10" s="231">
        <v>442.9</v>
      </c>
      <c r="D10" s="231">
        <f>1070.4</f>
        <v>1070.4000000000001</v>
      </c>
      <c r="E10" s="231">
        <f>1079.4</f>
        <v>1079.4000000000001</v>
      </c>
      <c r="F10" s="234">
        <f t="shared" si="0"/>
        <v>1534.1000000000001</v>
      </c>
      <c r="G10" s="330">
        <f>фінплан!D37/120*100-800</f>
        <v>253</v>
      </c>
      <c r="H10" s="330">
        <f>фінплан!E37/120*100-700</f>
        <v>423.50000000000023</v>
      </c>
      <c r="I10" s="330">
        <f>фінплан!F37/120*100-1000</f>
        <v>405</v>
      </c>
      <c r="J10" s="331">
        <f>фінплан!G37/120*100-800</f>
        <v>452.59999999999991</v>
      </c>
      <c r="K10" s="29"/>
    </row>
    <row r="11" spans="1:11" s="20" customFormat="1" ht="24" customHeight="1" x14ac:dyDescent="0.2">
      <c r="A11" s="127" t="s">
        <v>110</v>
      </c>
      <c r="B11" s="123" t="s">
        <v>31</v>
      </c>
      <c r="C11" s="231">
        <v>0</v>
      </c>
      <c r="D11" s="231">
        <v>0</v>
      </c>
      <c r="E11" s="231">
        <v>0</v>
      </c>
      <c r="F11" s="234">
        <f t="shared" si="0"/>
        <v>0</v>
      </c>
      <c r="G11" s="231">
        <v>0</v>
      </c>
      <c r="H11" s="231">
        <v>0</v>
      </c>
      <c r="I11" s="231">
        <v>0</v>
      </c>
      <c r="J11" s="233">
        <v>0</v>
      </c>
      <c r="K11" s="29"/>
    </row>
    <row r="12" spans="1:11" s="20" customFormat="1" ht="12" x14ac:dyDescent="0.2">
      <c r="A12" s="127" t="s">
        <v>111</v>
      </c>
      <c r="B12" s="123" t="s">
        <v>55</v>
      </c>
      <c r="C12" s="231">
        <v>0</v>
      </c>
      <c r="D12" s="231">
        <v>0</v>
      </c>
      <c r="E12" s="231">
        <v>0</v>
      </c>
      <c r="F12" s="234">
        <f t="shared" si="0"/>
        <v>0</v>
      </c>
      <c r="G12" s="231">
        <v>0</v>
      </c>
      <c r="H12" s="231">
        <v>0</v>
      </c>
      <c r="I12" s="231">
        <v>0</v>
      </c>
      <c r="J12" s="233">
        <v>0</v>
      </c>
      <c r="K12" s="29"/>
    </row>
    <row r="13" spans="1:11" s="20" customFormat="1" ht="24" x14ac:dyDescent="0.2">
      <c r="A13" s="127" t="s">
        <v>507</v>
      </c>
      <c r="B13" s="123" t="s">
        <v>56</v>
      </c>
      <c r="C13" s="235">
        <v>0.4</v>
      </c>
      <c r="D13" s="235">
        <v>0</v>
      </c>
      <c r="E13" s="235">
        <v>0</v>
      </c>
      <c r="F13" s="234">
        <f t="shared" si="0"/>
        <v>0</v>
      </c>
      <c r="G13" s="235">
        <v>0</v>
      </c>
      <c r="H13" s="235">
        <v>0</v>
      </c>
      <c r="I13" s="235">
        <v>0</v>
      </c>
      <c r="J13" s="236">
        <v>0</v>
      </c>
      <c r="K13" s="29"/>
    </row>
    <row r="14" spans="1:11" s="20" customFormat="1" ht="12" x14ac:dyDescent="0.2">
      <c r="A14" s="127" t="s">
        <v>470</v>
      </c>
      <c r="B14" s="123"/>
      <c r="C14" s="235">
        <v>0</v>
      </c>
      <c r="D14" s="235">
        <v>233.2</v>
      </c>
      <c r="E14" s="235">
        <f>233.2+14</f>
        <v>247.2</v>
      </c>
      <c r="F14" s="234">
        <f t="shared" si="0"/>
        <v>700.80000000000007</v>
      </c>
      <c r="G14" s="329">
        <v>157.5</v>
      </c>
      <c r="H14" s="329">
        <v>181.1</v>
      </c>
      <c r="I14" s="329">
        <v>181.1</v>
      </c>
      <c r="J14" s="332">
        <v>181.1</v>
      </c>
      <c r="K14" s="29"/>
    </row>
    <row r="15" spans="1:11" s="20" customFormat="1" ht="29.25" customHeight="1" x14ac:dyDescent="0.2">
      <c r="A15" s="127" t="s">
        <v>471</v>
      </c>
      <c r="B15" s="123"/>
      <c r="C15" s="235">
        <v>163.5</v>
      </c>
      <c r="D15" s="235">
        <f>114.6</f>
        <v>114.6</v>
      </c>
      <c r="E15" s="235">
        <f>115.1</f>
        <v>115.1</v>
      </c>
      <c r="F15" s="234">
        <f t="shared" si="0"/>
        <v>162.5</v>
      </c>
      <c r="G15" s="329">
        <v>18.399999999999999</v>
      </c>
      <c r="H15" s="329">
        <v>63.7</v>
      </c>
      <c r="I15" s="329">
        <v>47</v>
      </c>
      <c r="J15" s="332">
        <v>33.4</v>
      </c>
      <c r="K15" s="29"/>
    </row>
    <row r="16" spans="1:11" s="20" customFormat="1" ht="12" x14ac:dyDescent="0.2">
      <c r="A16" s="127" t="s">
        <v>472</v>
      </c>
      <c r="B16" s="123"/>
      <c r="C16" s="235">
        <v>0</v>
      </c>
      <c r="D16" s="235">
        <v>0</v>
      </c>
      <c r="E16" s="235">
        <v>0</v>
      </c>
      <c r="F16" s="234">
        <f t="shared" si="0"/>
        <v>0</v>
      </c>
      <c r="G16" s="235">
        <v>0</v>
      </c>
      <c r="H16" s="235">
        <v>0</v>
      </c>
      <c r="I16" s="235">
        <v>0</v>
      </c>
      <c r="J16" s="236">
        <v>0</v>
      </c>
      <c r="K16" s="29"/>
    </row>
    <row r="17" spans="1:11" s="119" customFormat="1" ht="24.75" customHeight="1" x14ac:dyDescent="0.2">
      <c r="A17" s="128" t="s">
        <v>223</v>
      </c>
      <c r="B17" s="122" t="s">
        <v>57</v>
      </c>
      <c r="C17" s="231">
        <v>0</v>
      </c>
      <c r="D17" s="231">
        <f>SUM(D18:D21)</f>
        <v>0</v>
      </c>
      <c r="E17" s="231">
        <f>SUM(E18:E21)</f>
        <v>0</v>
      </c>
      <c r="F17" s="232">
        <f t="shared" si="0"/>
        <v>0</v>
      </c>
      <c r="G17" s="231">
        <f>SUM(G18:G21)</f>
        <v>0</v>
      </c>
      <c r="H17" s="231">
        <f>SUM(H18:H21)</f>
        <v>0</v>
      </c>
      <c r="I17" s="231">
        <f>SUM(I18:I21)</f>
        <v>0</v>
      </c>
      <c r="J17" s="233">
        <f>SUM(J18:J21)</f>
        <v>0</v>
      </c>
      <c r="K17" s="118"/>
    </row>
    <row r="18" spans="1:11" s="20" customFormat="1" ht="24" x14ac:dyDescent="0.2">
      <c r="A18" s="127" t="s">
        <v>113</v>
      </c>
      <c r="B18" s="123" t="s">
        <v>58</v>
      </c>
      <c r="C18" s="235">
        <v>0</v>
      </c>
      <c r="D18" s="235">
        <v>0</v>
      </c>
      <c r="E18" s="235">
        <v>0</v>
      </c>
      <c r="F18" s="234">
        <f t="shared" si="0"/>
        <v>0</v>
      </c>
      <c r="G18" s="235">
        <v>0</v>
      </c>
      <c r="H18" s="235">
        <v>0</v>
      </c>
      <c r="I18" s="235">
        <v>0</v>
      </c>
      <c r="J18" s="236">
        <v>0</v>
      </c>
      <c r="K18" s="29"/>
    </row>
    <row r="19" spans="1:11" s="20" customFormat="1" ht="24" x14ac:dyDescent="0.2">
      <c r="A19" s="127" t="s">
        <v>114</v>
      </c>
      <c r="B19" s="123" t="s">
        <v>59</v>
      </c>
      <c r="C19" s="235">
        <v>0</v>
      </c>
      <c r="D19" s="235">
        <v>0</v>
      </c>
      <c r="E19" s="235">
        <v>0</v>
      </c>
      <c r="F19" s="234">
        <f t="shared" si="0"/>
        <v>0</v>
      </c>
      <c r="G19" s="235">
        <v>0</v>
      </c>
      <c r="H19" s="235">
        <v>0</v>
      </c>
      <c r="I19" s="235">
        <v>0</v>
      </c>
      <c r="J19" s="236">
        <v>0</v>
      </c>
      <c r="K19" s="29"/>
    </row>
    <row r="20" spans="1:11" s="20" customFormat="1" ht="24" customHeight="1" x14ac:dyDescent="0.2">
      <c r="A20" s="127" t="s">
        <v>224</v>
      </c>
      <c r="B20" s="123" t="s">
        <v>10</v>
      </c>
      <c r="C20" s="231">
        <v>0</v>
      </c>
      <c r="D20" s="231">
        <v>0</v>
      </c>
      <c r="E20" s="231">
        <v>0</v>
      </c>
      <c r="F20" s="234">
        <f t="shared" si="0"/>
        <v>0</v>
      </c>
      <c r="G20" s="231">
        <v>0</v>
      </c>
      <c r="H20" s="231">
        <v>0</v>
      </c>
      <c r="I20" s="231">
        <v>0</v>
      </c>
      <c r="J20" s="233">
        <v>0</v>
      </c>
      <c r="K20" s="29"/>
    </row>
    <row r="21" spans="1:11" s="20" customFormat="1" ht="12" x14ac:dyDescent="0.2">
      <c r="A21" s="127" t="s">
        <v>112</v>
      </c>
      <c r="B21" s="123" t="s">
        <v>39</v>
      </c>
      <c r="C21" s="235">
        <v>0</v>
      </c>
      <c r="D21" s="235">
        <v>0</v>
      </c>
      <c r="E21" s="235">
        <v>0</v>
      </c>
      <c r="F21" s="234">
        <f t="shared" si="0"/>
        <v>0</v>
      </c>
      <c r="G21" s="235">
        <v>0</v>
      </c>
      <c r="H21" s="235">
        <v>0</v>
      </c>
      <c r="I21" s="235">
        <v>0</v>
      </c>
      <c r="J21" s="236">
        <v>0</v>
      </c>
      <c r="K21" s="29"/>
    </row>
    <row r="22" spans="1:11" s="119" customFormat="1" ht="24.75" customHeight="1" x14ac:dyDescent="0.2">
      <c r="A22" s="128" t="s">
        <v>225</v>
      </c>
      <c r="B22" s="122" t="s">
        <v>40</v>
      </c>
      <c r="C22" s="231">
        <v>0</v>
      </c>
      <c r="D22" s="231">
        <f>SUM(D23:D24)</f>
        <v>0</v>
      </c>
      <c r="E22" s="231">
        <f>SUM(E23:E24)</f>
        <v>0</v>
      </c>
      <c r="F22" s="232">
        <f t="shared" si="0"/>
        <v>0</v>
      </c>
      <c r="G22" s="231">
        <f>SUM(G23:G24)</f>
        <v>0</v>
      </c>
      <c r="H22" s="231">
        <f>SUM(H23:H24)</f>
        <v>0</v>
      </c>
      <c r="I22" s="231">
        <f>SUM(I23:I24)</f>
        <v>0</v>
      </c>
      <c r="J22" s="233">
        <f>SUM(J23:J24)</f>
        <v>0</v>
      </c>
      <c r="K22" s="118"/>
    </row>
    <row r="23" spans="1:11" s="20" customFormat="1" ht="12" x14ac:dyDescent="0.2">
      <c r="A23" s="127" t="s">
        <v>115</v>
      </c>
      <c r="B23" s="123" t="s">
        <v>41</v>
      </c>
      <c r="C23" s="231">
        <v>0</v>
      </c>
      <c r="D23" s="231">
        <v>0</v>
      </c>
      <c r="E23" s="231">
        <v>0</v>
      </c>
      <c r="F23" s="234">
        <f t="shared" si="0"/>
        <v>0</v>
      </c>
      <c r="G23" s="231">
        <v>0</v>
      </c>
      <c r="H23" s="231">
        <v>0</v>
      </c>
      <c r="I23" s="231">
        <v>0</v>
      </c>
      <c r="J23" s="233">
        <v>0</v>
      </c>
      <c r="K23" s="29"/>
    </row>
    <row r="24" spans="1:11" s="20" customFormat="1" ht="12" x14ac:dyDescent="0.2">
      <c r="A24" s="127" t="s">
        <v>112</v>
      </c>
      <c r="B24" s="123" t="s">
        <v>42</v>
      </c>
      <c r="C24" s="231">
        <v>0</v>
      </c>
      <c r="D24" s="231">
        <v>0</v>
      </c>
      <c r="E24" s="231">
        <v>0</v>
      </c>
      <c r="F24" s="234">
        <f t="shared" si="0"/>
        <v>0</v>
      </c>
      <c r="G24" s="231">
        <v>0</v>
      </c>
      <c r="H24" s="231">
        <v>0</v>
      </c>
      <c r="I24" s="231">
        <v>0</v>
      </c>
      <c r="J24" s="233">
        <v>0</v>
      </c>
      <c r="K24" s="29"/>
    </row>
    <row r="25" spans="1:11" s="119" customFormat="1" ht="24" x14ac:dyDescent="0.2">
      <c r="A25" s="128" t="s">
        <v>226</v>
      </c>
      <c r="B25" s="122" t="s">
        <v>43</v>
      </c>
      <c r="C25" s="231">
        <f>C26+C27+C29+C37</f>
        <v>16314.699999999999</v>
      </c>
      <c r="D25" s="231">
        <f>D26+D27+D29+D37</f>
        <v>16794.8</v>
      </c>
      <c r="E25" s="231">
        <f>E26+E27+E29+E37</f>
        <v>17458</v>
      </c>
      <c r="F25" s="232">
        <f t="shared" si="0"/>
        <v>21700.400000000001</v>
      </c>
      <c r="G25" s="231">
        <f t="shared" ref="G25:J25" si="1">G26+G27+G29+G37</f>
        <v>4880.6000000000004</v>
      </c>
      <c r="H25" s="231">
        <f t="shared" si="1"/>
        <v>5406.6</v>
      </c>
      <c r="I25" s="231">
        <f t="shared" si="1"/>
        <v>5713.5000000000009</v>
      </c>
      <c r="J25" s="233">
        <f t="shared" si="1"/>
        <v>5699.7000000000007</v>
      </c>
      <c r="K25" s="118"/>
    </row>
    <row r="26" spans="1:11" s="20" customFormat="1" ht="24" x14ac:dyDescent="0.2">
      <c r="A26" s="127" t="s">
        <v>116</v>
      </c>
      <c r="B26" s="123" t="s">
        <v>45</v>
      </c>
      <c r="C26" s="231">
        <v>5842.1</v>
      </c>
      <c r="D26" s="231">
        <f>5980.4</f>
        <v>5980.4</v>
      </c>
      <c r="E26" s="231">
        <f>6353.4</f>
        <v>6353.4</v>
      </c>
      <c r="F26" s="234">
        <f t="shared" si="0"/>
        <v>9734.7999999999993</v>
      </c>
      <c r="G26" s="231">
        <f>'таблиця 1'!F8+800</f>
        <v>1937.2</v>
      </c>
      <c r="H26" s="231">
        <f>'таблиця 1'!G8+850+34.5</f>
        <v>2399.1999999999998</v>
      </c>
      <c r="I26" s="231">
        <f>'таблиця 1'!H8+850</f>
        <v>2706.1</v>
      </c>
      <c r="J26" s="233">
        <f>'таблиця 1'!I8+850</f>
        <v>2692.3</v>
      </c>
      <c r="K26" s="29"/>
    </row>
    <row r="27" spans="1:11" s="20" customFormat="1" ht="12.75" customHeight="1" x14ac:dyDescent="0.2">
      <c r="A27" s="127" t="s">
        <v>117</v>
      </c>
      <c r="B27" s="123" t="s">
        <v>61</v>
      </c>
      <c r="C27" s="231">
        <v>5423.4</v>
      </c>
      <c r="D27" s="231">
        <v>5732.4</v>
      </c>
      <c r="E27" s="231">
        <f>5732.4+130</f>
        <v>5862.4</v>
      </c>
      <c r="F27" s="234">
        <f t="shared" si="0"/>
        <v>6228.1</v>
      </c>
      <c r="G27" s="231">
        <f>1465.6</f>
        <v>1465.6</v>
      </c>
      <c r="H27" s="231">
        <f>1587.5</f>
        <v>1587.5</v>
      </c>
      <c r="I27" s="231">
        <f t="shared" ref="I27:J27" si="2">1587.5</f>
        <v>1587.5</v>
      </c>
      <c r="J27" s="231">
        <f t="shared" si="2"/>
        <v>1587.5</v>
      </c>
      <c r="K27" s="29"/>
    </row>
    <row r="28" spans="1:11" s="20" customFormat="1" ht="24" customHeight="1" x14ac:dyDescent="0.2">
      <c r="A28" s="127" t="s">
        <v>118</v>
      </c>
      <c r="B28" s="123" t="s">
        <v>62</v>
      </c>
      <c r="C28" s="231">
        <v>0</v>
      </c>
      <c r="D28" s="231">
        <v>0</v>
      </c>
      <c r="E28" s="231">
        <v>0</v>
      </c>
      <c r="F28" s="234">
        <f t="shared" si="0"/>
        <v>0</v>
      </c>
      <c r="G28" s="231">
        <v>0</v>
      </c>
      <c r="H28" s="231">
        <v>0</v>
      </c>
      <c r="I28" s="231">
        <v>0</v>
      </c>
      <c r="J28" s="233">
        <v>0</v>
      </c>
      <c r="K28" s="29"/>
    </row>
    <row r="29" spans="1:11" s="20" customFormat="1" ht="12" x14ac:dyDescent="0.2">
      <c r="A29" s="127" t="s">
        <v>119</v>
      </c>
      <c r="B29" s="123" t="s">
        <v>63</v>
      </c>
      <c r="C29" s="231">
        <f>C30+C31+C32+C33+C34+C35+C36</f>
        <v>5037.8</v>
      </c>
      <c r="D29" s="231">
        <f>D30+D31+D32+D33+D34+D35+D36</f>
        <v>5068.0000000000009</v>
      </c>
      <c r="E29" s="231">
        <f>E30+E31+E32+E33+E34+E35+E36</f>
        <v>5228.0000000000009</v>
      </c>
      <c r="F29" s="234">
        <f t="shared" si="0"/>
        <v>5722.3000000000011</v>
      </c>
      <c r="G29" s="235">
        <f t="shared" ref="G29:J29" si="3">G30+G31+G32+G33+G34+G35+G36</f>
        <v>1474</v>
      </c>
      <c r="H29" s="235">
        <f t="shared" si="3"/>
        <v>1416.1000000000001</v>
      </c>
      <c r="I29" s="235">
        <f t="shared" si="3"/>
        <v>1416.1000000000001</v>
      </c>
      <c r="J29" s="236">
        <f t="shared" si="3"/>
        <v>1416.1000000000001</v>
      </c>
      <c r="K29" s="29"/>
    </row>
    <row r="30" spans="1:11" s="20" customFormat="1" ht="12" x14ac:dyDescent="0.2">
      <c r="A30" s="127" t="s">
        <v>500</v>
      </c>
      <c r="B30" s="123"/>
      <c r="C30" s="235">
        <v>1421.3</v>
      </c>
      <c r="D30" s="235">
        <f>1519.6</f>
        <v>1519.6</v>
      </c>
      <c r="E30" s="235">
        <f>1519.6+28.6</f>
        <v>1548.1999999999998</v>
      </c>
      <c r="F30" s="234">
        <f t="shared" si="0"/>
        <v>1679.5</v>
      </c>
      <c r="G30" s="235">
        <f>419.8</f>
        <v>419.8</v>
      </c>
      <c r="H30" s="235">
        <f t="shared" ref="H30:J30" si="4">419.9</f>
        <v>419.9</v>
      </c>
      <c r="I30" s="235">
        <f t="shared" si="4"/>
        <v>419.9</v>
      </c>
      <c r="J30" s="235">
        <f t="shared" si="4"/>
        <v>419.9</v>
      </c>
      <c r="K30" s="29"/>
    </row>
    <row r="31" spans="1:11" s="20" customFormat="1" ht="12" x14ac:dyDescent="0.2">
      <c r="A31" s="127" t="s">
        <v>501</v>
      </c>
      <c r="B31" s="123"/>
      <c r="C31" s="235">
        <v>1197.8</v>
      </c>
      <c r="D31" s="235">
        <f>1292.2</f>
        <v>1292.2</v>
      </c>
      <c r="E31" s="235">
        <f>1292.2+23.4</f>
        <v>1315.6000000000001</v>
      </c>
      <c r="F31" s="234">
        <f t="shared" si="0"/>
        <v>1427.5</v>
      </c>
      <c r="G31" s="235">
        <f>356.8</f>
        <v>356.8</v>
      </c>
      <c r="H31" s="235">
        <f>356.9</f>
        <v>356.9</v>
      </c>
      <c r="I31" s="235">
        <f t="shared" ref="I31:J31" si="5">356.9</f>
        <v>356.9</v>
      </c>
      <c r="J31" s="235">
        <f t="shared" si="5"/>
        <v>356.9</v>
      </c>
      <c r="K31" s="29"/>
    </row>
    <row r="32" spans="1:11" s="20" customFormat="1" ht="12" x14ac:dyDescent="0.2">
      <c r="A32" s="127" t="s">
        <v>502</v>
      </c>
      <c r="B32" s="123"/>
      <c r="C32" s="235">
        <v>101</v>
      </c>
      <c r="D32" s="235">
        <f>107.4</f>
        <v>107.4</v>
      </c>
      <c r="E32" s="235">
        <f>107.4+2</f>
        <v>109.4</v>
      </c>
      <c r="F32" s="234">
        <f t="shared" si="0"/>
        <v>118.30000000000001</v>
      </c>
      <c r="G32" s="235">
        <f>29.5</f>
        <v>29.5</v>
      </c>
      <c r="H32" s="235">
        <f>29.6</f>
        <v>29.6</v>
      </c>
      <c r="I32" s="235">
        <f t="shared" ref="I32:J32" si="6">29.6</f>
        <v>29.6</v>
      </c>
      <c r="J32" s="235">
        <f t="shared" si="6"/>
        <v>29.6</v>
      </c>
      <c r="K32" s="29"/>
    </row>
    <row r="33" spans="1:11" s="20" customFormat="1" ht="12" x14ac:dyDescent="0.2">
      <c r="A33" s="127" t="s">
        <v>503</v>
      </c>
      <c r="B33" s="123"/>
      <c r="C33" s="235">
        <f>1422.6</f>
        <v>1422.6</v>
      </c>
      <c r="D33" s="235">
        <f>1581.4</f>
        <v>1581.4</v>
      </c>
      <c r="E33" s="235">
        <f>1581.4+106</f>
        <v>1687.4</v>
      </c>
      <c r="F33" s="234">
        <f t="shared" si="0"/>
        <v>1940</v>
      </c>
      <c r="G33" s="235">
        <f>485</f>
        <v>485</v>
      </c>
      <c r="H33" s="235">
        <f>485</f>
        <v>485</v>
      </c>
      <c r="I33" s="235">
        <f>485</f>
        <v>485</v>
      </c>
      <c r="J33" s="235">
        <f>485</f>
        <v>485</v>
      </c>
      <c r="K33" s="29"/>
    </row>
    <row r="34" spans="1:11" s="20" customFormat="1" ht="12" x14ac:dyDescent="0.2">
      <c r="A34" s="127" t="s">
        <v>365</v>
      </c>
      <c r="B34" s="123"/>
      <c r="C34" s="235">
        <v>320</v>
      </c>
      <c r="D34" s="235">
        <f>106.2</f>
        <v>106.2</v>
      </c>
      <c r="E34" s="235">
        <f>106.2</f>
        <v>106.2</v>
      </c>
      <c r="F34" s="234">
        <f t="shared" si="0"/>
        <v>86.40000000000002</v>
      </c>
      <c r="G34" s="235">
        <f>67.2</f>
        <v>67.2</v>
      </c>
      <c r="H34" s="235">
        <f>6.4</f>
        <v>6.4</v>
      </c>
      <c r="I34" s="235">
        <f>6.4</f>
        <v>6.4</v>
      </c>
      <c r="J34" s="236">
        <f>6.4</f>
        <v>6.4</v>
      </c>
      <c r="K34" s="29"/>
    </row>
    <row r="35" spans="1:11" s="20" customFormat="1" ht="12" x14ac:dyDescent="0.2">
      <c r="A35" s="127" t="s">
        <v>504</v>
      </c>
      <c r="B35" s="123"/>
      <c r="C35" s="235">
        <v>486</v>
      </c>
      <c r="D35" s="235">
        <f>440.1</f>
        <v>440.1</v>
      </c>
      <c r="E35" s="235">
        <f>440.1</f>
        <v>440.1</v>
      </c>
      <c r="F35" s="234">
        <f t="shared" si="0"/>
        <v>447.5</v>
      </c>
      <c r="G35" s="235">
        <f>110</f>
        <v>110</v>
      </c>
      <c r="H35" s="235">
        <f>112.5</f>
        <v>112.5</v>
      </c>
      <c r="I35" s="235">
        <f>112.5</f>
        <v>112.5</v>
      </c>
      <c r="J35" s="236">
        <f>112.5</f>
        <v>112.5</v>
      </c>
      <c r="K35" s="29"/>
    </row>
    <row r="36" spans="1:11" s="20" customFormat="1" ht="12" x14ac:dyDescent="0.2">
      <c r="A36" s="127" t="s">
        <v>505</v>
      </c>
      <c r="B36" s="123"/>
      <c r="C36" s="235">
        <v>89.1</v>
      </c>
      <c r="D36" s="235">
        <f>21.1</f>
        <v>21.1</v>
      </c>
      <c r="E36" s="235">
        <f>21.1</f>
        <v>21.1</v>
      </c>
      <c r="F36" s="234">
        <f t="shared" si="0"/>
        <v>23.1</v>
      </c>
      <c r="G36" s="235">
        <v>5.7</v>
      </c>
      <c r="H36" s="235">
        <v>5.8</v>
      </c>
      <c r="I36" s="235">
        <f>5.8</f>
        <v>5.8</v>
      </c>
      <c r="J36" s="236">
        <v>5.8</v>
      </c>
      <c r="K36" s="29"/>
    </row>
    <row r="37" spans="1:11" s="20" customFormat="1" ht="14.25" customHeight="1" x14ac:dyDescent="0.2">
      <c r="A37" s="127" t="s">
        <v>120</v>
      </c>
      <c r="B37" s="123" t="s">
        <v>11</v>
      </c>
      <c r="C37" s="231">
        <f>C38+C39</f>
        <v>11.4</v>
      </c>
      <c r="D37" s="231">
        <f>14</f>
        <v>14</v>
      </c>
      <c r="E37" s="231">
        <f>14.2</f>
        <v>14.2</v>
      </c>
      <c r="F37" s="232">
        <f t="shared" si="0"/>
        <v>15.2</v>
      </c>
      <c r="G37" s="231">
        <f>3.8</f>
        <v>3.8</v>
      </c>
      <c r="H37" s="231">
        <f>3.8</f>
        <v>3.8</v>
      </c>
      <c r="I37" s="231">
        <f>3.8</f>
        <v>3.8</v>
      </c>
      <c r="J37" s="233">
        <f>3.8</f>
        <v>3.8</v>
      </c>
      <c r="K37" s="29"/>
    </row>
    <row r="38" spans="1:11" s="20" customFormat="1" ht="14.25" customHeight="1" x14ac:dyDescent="0.2">
      <c r="A38" s="127" t="s">
        <v>506</v>
      </c>
      <c r="B38" s="123"/>
      <c r="C38" s="235">
        <v>11.4</v>
      </c>
      <c r="D38" s="235">
        <v>14</v>
      </c>
      <c r="E38" s="235">
        <f>14.2</f>
        <v>14.2</v>
      </c>
      <c r="F38" s="234">
        <f>SUM(G38:J38)</f>
        <v>15.2</v>
      </c>
      <c r="G38" s="235">
        <f>3.8</f>
        <v>3.8</v>
      </c>
      <c r="H38" s="235">
        <v>3.8</v>
      </c>
      <c r="I38" s="235">
        <v>3.8</v>
      </c>
      <c r="J38" s="236">
        <v>3.8</v>
      </c>
      <c r="K38" s="29"/>
    </row>
    <row r="39" spans="1:11" s="20" customFormat="1" ht="14.25" customHeight="1" x14ac:dyDescent="0.2">
      <c r="A39" s="127"/>
      <c r="B39" s="123"/>
      <c r="C39" s="231"/>
      <c r="D39" s="231"/>
      <c r="E39" s="231"/>
      <c r="F39" s="234">
        <f>SUM(G39:J39)</f>
        <v>0</v>
      </c>
      <c r="G39" s="231"/>
      <c r="H39" s="231"/>
      <c r="I39" s="231"/>
      <c r="J39" s="233"/>
      <c r="K39" s="29"/>
    </row>
    <row r="40" spans="1:11" s="119" customFormat="1" ht="24.75" customHeight="1" x14ac:dyDescent="0.2">
      <c r="A40" s="128" t="s">
        <v>227</v>
      </c>
      <c r="B40" s="122" t="s">
        <v>18</v>
      </c>
      <c r="C40" s="231">
        <v>0</v>
      </c>
      <c r="D40" s="231">
        <f>SUM(D41:D45)</f>
        <v>0</v>
      </c>
      <c r="E40" s="231">
        <f>SUM(E41:E45)</f>
        <v>0</v>
      </c>
      <c r="F40" s="232">
        <f t="shared" si="0"/>
        <v>0</v>
      </c>
      <c r="G40" s="231">
        <f>SUM(G41:G45)</f>
        <v>0</v>
      </c>
      <c r="H40" s="231">
        <f>SUM(H41:H45)</f>
        <v>0</v>
      </c>
      <c r="I40" s="231">
        <f>SUM(I41:I45)</f>
        <v>0</v>
      </c>
      <c r="J40" s="233">
        <f>SUM(J41:J45)</f>
        <v>0</v>
      </c>
      <c r="K40" s="118"/>
    </row>
    <row r="41" spans="1:11" s="20" customFormat="1" ht="16.5" customHeight="1" x14ac:dyDescent="0.2">
      <c r="A41" s="127" t="s">
        <v>121</v>
      </c>
      <c r="B41" s="123" t="s">
        <v>19</v>
      </c>
      <c r="C41" s="231">
        <v>0</v>
      </c>
      <c r="D41" s="231">
        <v>0</v>
      </c>
      <c r="E41" s="231">
        <v>0</v>
      </c>
      <c r="F41" s="234">
        <f t="shared" si="0"/>
        <v>0</v>
      </c>
      <c r="G41" s="231">
        <v>0</v>
      </c>
      <c r="H41" s="231">
        <v>0</v>
      </c>
      <c r="I41" s="231">
        <v>0</v>
      </c>
      <c r="J41" s="233">
        <v>0</v>
      </c>
      <c r="K41" s="29"/>
    </row>
    <row r="42" spans="1:11" s="20" customFormat="1" ht="12" x14ac:dyDescent="0.2">
      <c r="A42" s="127" t="s">
        <v>122</v>
      </c>
      <c r="B42" s="123" t="s">
        <v>20</v>
      </c>
      <c r="C42" s="231">
        <v>0</v>
      </c>
      <c r="D42" s="231">
        <v>0</v>
      </c>
      <c r="E42" s="231">
        <v>0</v>
      </c>
      <c r="F42" s="234">
        <f t="shared" si="0"/>
        <v>0</v>
      </c>
      <c r="G42" s="231">
        <v>0</v>
      </c>
      <c r="H42" s="231">
        <v>0</v>
      </c>
      <c r="I42" s="231">
        <v>0</v>
      </c>
      <c r="J42" s="233">
        <v>0</v>
      </c>
      <c r="K42" s="29"/>
    </row>
    <row r="43" spans="1:11" s="20" customFormat="1" ht="12" x14ac:dyDescent="0.2">
      <c r="A43" s="127" t="s">
        <v>123</v>
      </c>
      <c r="B43" s="123" t="s">
        <v>21</v>
      </c>
      <c r="C43" s="231">
        <v>0</v>
      </c>
      <c r="D43" s="231">
        <v>0</v>
      </c>
      <c r="E43" s="231">
        <v>0</v>
      </c>
      <c r="F43" s="234">
        <f t="shared" si="0"/>
        <v>0</v>
      </c>
      <c r="G43" s="231">
        <v>0</v>
      </c>
      <c r="H43" s="231">
        <v>0</v>
      </c>
      <c r="I43" s="231">
        <v>0</v>
      </c>
      <c r="J43" s="233">
        <v>0</v>
      </c>
      <c r="K43" s="29"/>
    </row>
    <row r="44" spans="1:11" s="20" customFormat="1" ht="12" x14ac:dyDescent="0.2">
      <c r="A44" s="127" t="s">
        <v>228</v>
      </c>
      <c r="B44" s="123" t="s">
        <v>22</v>
      </c>
      <c r="C44" s="231">
        <v>0</v>
      </c>
      <c r="D44" s="231">
        <v>0</v>
      </c>
      <c r="E44" s="231">
        <v>0</v>
      </c>
      <c r="F44" s="234">
        <f t="shared" si="0"/>
        <v>0</v>
      </c>
      <c r="G44" s="231">
        <v>0</v>
      </c>
      <c r="H44" s="231">
        <v>0</v>
      </c>
      <c r="I44" s="231">
        <v>0</v>
      </c>
      <c r="J44" s="233">
        <v>0</v>
      </c>
      <c r="K44" s="29"/>
    </row>
    <row r="45" spans="1:11" s="20" customFormat="1" ht="12" x14ac:dyDescent="0.2">
      <c r="A45" s="127" t="s">
        <v>120</v>
      </c>
      <c r="B45" s="123" t="s">
        <v>23</v>
      </c>
      <c r="C45" s="231">
        <v>0</v>
      </c>
      <c r="D45" s="231">
        <v>0</v>
      </c>
      <c r="E45" s="231">
        <v>0</v>
      </c>
      <c r="F45" s="234">
        <f t="shared" si="0"/>
        <v>0</v>
      </c>
      <c r="G45" s="231">
        <v>0</v>
      </c>
      <c r="H45" s="231">
        <v>0</v>
      </c>
      <c r="I45" s="231">
        <v>0</v>
      </c>
      <c r="J45" s="233">
        <v>0</v>
      </c>
      <c r="K45" s="29"/>
    </row>
    <row r="46" spans="1:11" s="119" customFormat="1" ht="24.75" customHeight="1" x14ac:dyDescent="0.2">
      <c r="A46" s="128" t="s">
        <v>229</v>
      </c>
      <c r="B46" s="122" t="s">
        <v>24</v>
      </c>
      <c r="C46" s="231">
        <f>SUM(C47:C48)</f>
        <v>0</v>
      </c>
      <c r="D46" s="231">
        <f>SUM(D47:D48)</f>
        <v>0</v>
      </c>
      <c r="E46" s="231">
        <f>SUM(E47:E48)</f>
        <v>0</v>
      </c>
      <c r="F46" s="232">
        <f t="shared" si="0"/>
        <v>0</v>
      </c>
      <c r="G46" s="231">
        <f>SUM(G47:G48)</f>
        <v>0</v>
      </c>
      <c r="H46" s="231">
        <f>SUM(H47:H48)</f>
        <v>0</v>
      </c>
      <c r="I46" s="231">
        <f>SUM(I47:I48)</f>
        <v>0</v>
      </c>
      <c r="J46" s="233">
        <f>SUM(J47:J48)</f>
        <v>0</v>
      </c>
      <c r="K46" s="118"/>
    </row>
    <row r="47" spans="1:11" s="20" customFormat="1" ht="12" x14ac:dyDescent="0.2">
      <c r="A47" s="127" t="s">
        <v>124</v>
      </c>
      <c r="B47" s="123" t="s">
        <v>25</v>
      </c>
      <c r="C47" s="231">
        <v>0</v>
      </c>
      <c r="D47" s="231">
        <v>0</v>
      </c>
      <c r="E47" s="231">
        <v>0</v>
      </c>
      <c r="F47" s="234">
        <f t="shared" si="0"/>
        <v>0</v>
      </c>
      <c r="G47" s="231">
        <v>0</v>
      </c>
      <c r="H47" s="231">
        <v>0</v>
      </c>
      <c r="I47" s="231">
        <v>0</v>
      </c>
      <c r="J47" s="233">
        <v>0</v>
      </c>
      <c r="K47" s="29"/>
    </row>
    <row r="48" spans="1:11" s="20" customFormat="1" ht="24" customHeight="1" x14ac:dyDescent="0.2">
      <c r="A48" s="127" t="s">
        <v>230</v>
      </c>
      <c r="B48" s="123" t="s">
        <v>26</v>
      </c>
      <c r="C48" s="231">
        <v>0</v>
      </c>
      <c r="D48" s="231">
        <v>0</v>
      </c>
      <c r="E48" s="231">
        <v>0</v>
      </c>
      <c r="F48" s="234">
        <f t="shared" si="0"/>
        <v>0</v>
      </c>
      <c r="G48" s="231">
        <v>0</v>
      </c>
      <c r="H48" s="231">
        <v>0</v>
      </c>
      <c r="I48" s="231">
        <v>0</v>
      </c>
      <c r="J48" s="233">
        <v>0</v>
      </c>
      <c r="K48" s="29"/>
    </row>
    <row r="49" spans="1:11" s="119" customFormat="1" ht="12" x14ac:dyDescent="0.2">
      <c r="A49" s="126" t="s">
        <v>125</v>
      </c>
      <c r="B49" s="385"/>
      <c r="C49" s="385"/>
      <c r="D49" s="385"/>
      <c r="E49" s="385"/>
      <c r="F49" s="385"/>
      <c r="G49" s="385"/>
      <c r="H49" s="385"/>
      <c r="I49" s="385"/>
      <c r="J49" s="386"/>
      <c r="K49" s="118"/>
    </row>
    <row r="50" spans="1:11" s="118" customFormat="1" ht="12" x14ac:dyDescent="0.2">
      <c r="A50" s="126" t="s">
        <v>126</v>
      </c>
      <c r="B50" s="122" t="s">
        <v>12</v>
      </c>
      <c r="C50" s="231">
        <v>2223.1</v>
      </c>
      <c r="D50" s="231">
        <f>C51</f>
        <v>2681.3999999999996</v>
      </c>
      <c r="E50" s="231">
        <f>D51</f>
        <v>2449.7999999999993</v>
      </c>
      <c r="F50" s="232">
        <f>E51</f>
        <v>2147.5</v>
      </c>
      <c r="G50" s="231">
        <f>E51</f>
        <v>2147.5</v>
      </c>
      <c r="H50" s="231">
        <f>G51</f>
        <v>2168.0999999999985</v>
      </c>
      <c r="I50" s="231">
        <f>H51</f>
        <v>2427.9999999999982</v>
      </c>
      <c r="J50" s="233">
        <f>I51</f>
        <v>2572.199999999998</v>
      </c>
    </row>
    <row r="51" spans="1:11" s="118" customFormat="1" ht="12" x14ac:dyDescent="0.2">
      <c r="A51" s="126" t="s">
        <v>231</v>
      </c>
      <c r="B51" s="122" t="s">
        <v>65</v>
      </c>
      <c r="C51" s="231">
        <f>(C50+C8+C17+C22)-(C25+C40+C46)</f>
        <v>2681.3999999999996</v>
      </c>
      <c r="D51" s="231">
        <f>(D50+D8+D17+D22)-(D25+D40+D46)</f>
        <v>2449.7999999999993</v>
      </c>
      <c r="E51" s="231">
        <f>(E50+E8+E17+E22)-(E25+E40+E46)</f>
        <v>2147.5</v>
      </c>
      <c r="F51" s="232">
        <f>J51</f>
        <v>2660.4999999999964</v>
      </c>
      <c r="G51" s="231">
        <f>(G50+G8+G17+G22)-(G25+G40+G46)</f>
        <v>2168.0999999999985</v>
      </c>
      <c r="H51" s="231">
        <f>(H50+H8+H17+H22)-(H25+H40+H46)</f>
        <v>2427.9999999999982</v>
      </c>
      <c r="I51" s="231">
        <f>(I50+I8+I17+I22)-(I25+I40+I46)</f>
        <v>2572.199999999998</v>
      </c>
      <c r="J51" s="233">
        <f>(J50+J8+J17+J22)-(J25+J40+J46)</f>
        <v>2660.4999999999964</v>
      </c>
    </row>
    <row r="52" spans="1:11" s="119" customFormat="1" ht="14.25" customHeight="1" thickBot="1" x14ac:dyDescent="0.25">
      <c r="A52" s="129" t="s">
        <v>127</v>
      </c>
      <c r="B52" s="124" t="s">
        <v>66</v>
      </c>
      <c r="C52" s="237">
        <f>C51-C50</f>
        <v>458.29999999999973</v>
      </c>
      <c r="D52" s="237">
        <f>D51-D50</f>
        <v>-231.60000000000036</v>
      </c>
      <c r="E52" s="237">
        <f>E51-E50</f>
        <v>-302.29999999999927</v>
      </c>
      <c r="F52" s="238">
        <f t="shared" si="0"/>
        <v>512.99999999999636</v>
      </c>
      <c r="G52" s="237">
        <f>G51-G50</f>
        <v>20.599999999998545</v>
      </c>
      <c r="H52" s="237">
        <f>H51-H50</f>
        <v>259.89999999999964</v>
      </c>
      <c r="I52" s="237">
        <f>I51-I50</f>
        <v>144.19999999999982</v>
      </c>
      <c r="J52" s="239">
        <f>J51-J50</f>
        <v>88.299999999998363</v>
      </c>
      <c r="K52" s="118"/>
    </row>
    <row r="53" spans="1:11" ht="10.5" x14ac:dyDescent="0.2">
      <c r="A53" s="25"/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11" ht="10.5" x14ac:dyDescent="0.2">
      <c r="A54" s="25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 ht="10.5" x14ac:dyDescent="0.2">
      <c r="A55" s="25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0.5" x14ac:dyDescent="0.2">
      <c r="A56" s="25"/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spans="1:11" ht="15.75" x14ac:dyDescent="0.25">
      <c r="A57" s="312" t="s">
        <v>103</v>
      </c>
      <c r="B57" s="24"/>
      <c r="C57" s="24"/>
      <c r="D57" s="24"/>
      <c r="E57" s="24"/>
      <c r="F57" s="24"/>
      <c r="G57" s="306" t="s">
        <v>461</v>
      </c>
      <c r="H57" s="24"/>
      <c r="I57" s="24"/>
      <c r="J57" s="24"/>
      <c r="K57" s="24"/>
    </row>
    <row r="58" spans="1:11" x14ac:dyDescent="0.2">
      <c r="A58" s="26" t="s">
        <v>104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1" x14ac:dyDescent="0.2">
      <c r="A59" s="26"/>
      <c r="B59" s="24"/>
      <c r="C59" s="24"/>
      <c r="D59" s="24"/>
      <c r="E59" s="24"/>
      <c r="F59" s="24"/>
      <c r="G59" s="24"/>
      <c r="H59" s="24"/>
      <c r="I59" s="24"/>
      <c r="J59" s="24"/>
      <c r="K59" s="24"/>
    </row>
    <row r="60" spans="1:1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1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</row>
    <row r="62" spans="1:1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</row>
    <row r="64" spans="1:11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</row>
    <row r="65" spans="1:1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</row>
    <row r="66" spans="1:1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</row>
    <row r="67" spans="1:1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</row>
    <row r="68" spans="1:1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</row>
    <row r="69" spans="1:1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</row>
    <row r="71" spans="1:1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</row>
    <row r="72" spans="1:11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</row>
    <row r="73" spans="1:11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</row>
    <row r="74" spans="1:11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</row>
    <row r="75" spans="1:11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 spans="1:11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</row>
    <row r="77" spans="1:11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 spans="1:11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</row>
    <row r="79" spans="1:11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</row>
    <row r="80" spans="1:11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 spans="1:1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pans="1:1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</row>
    <row r="83" spans="1:1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</row>
    <row r="84" spans="1:1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</row>
    <row r="85" spans="1:11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</row>
    <row r="86" spans="1:1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</row>
    <row r="87" spans="1:11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</row>
    <row r="88" spans="1:11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</row>
    <row r="89" spans="1:11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</row>
    <row r="90" spans="1:11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</row>
    <row r="91" spans="1:11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</row>
    <row r="92" spans="1:11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</row>
    <row r="93" spans="1:11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</row>
    <row r="94" spans="1:11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</row>
    <row r="95" spans="1:11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</row>
    <row r="96" spans="1:11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</row>
    <row r="97" spans="1:11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</row>
    <row r="98" spans="1:11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</row>
    <row r="99" spans="1:11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</row>
    <row r="100" spans="1:11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1:11" x14ac:dyDescent="0.2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1:11" x14ac:dyDescent="0.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1:11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1:11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</row>
    <row r="105" spans="1:11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</row>
    <row r="106" spans="1:11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</row>
    <row r="107" spans="1:11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</row>
    <row r="108" spans="1:11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1:11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1:11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1:11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1:11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 spans="1:11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</row>
    <row r="114" spans="1:11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</row>
    <row r="115" spans="1:11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</row>
    <row r="116" spans="1:11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</row>
    <row r="117" spans="1:11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</row>
    <row r="118" spans="1:11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</row>
    <row r="119" spans="1:11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</row>
    <row r="120" spans="1:11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</row>
    <row r="121" spans="1:11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</row>
    <row r="122" spans="1:11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spans="1:11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1:11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</row>
    <row r="125" spans="1:11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</row>
    <row r="126" spans="1:11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</row>
    <row r="127" spans="1:11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</row>
    <row r="128" spans="1:11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</row>
    <row r="129" spans="1:11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</row>
    <row r="130" spans="1:11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</row>
    <row r="131" spans="1:11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</row>
    <row r="132" spans="1:11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</row>
    <row r="133" spans="1:11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</row>
    <row r="134" spans="1:11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1:11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</row>
    <row r="136" spans="1:11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</row>
    <row r="137" spans="1:11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</row>
    <row r="138" spans="1:11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</row>
    <row r="139" spans="1:11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</row>
    <row r="140" spans="1:11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</row>
    <row r="141" spans="1:11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</row>
    <row r="142" spans="1:11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</row>
    <row r="143" spans="1:11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</row>
    <row r="144" spans="1:11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</row>
    <row r="145" spans="1:11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</row>
    <row r="146" spans="1:11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</row>
    <row r="147" spans="1:11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</row>
    <row r="148" spans="1:11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</row>
    <row r="149" spans="1:11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</row>
    <row r="150" spans="1:11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</row>
    <row r="151" spans="1:11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</row>
    <row r="152" spans="1:11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</row>
    <row r="153" spans="1:11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</row>
    <row r="154" spans="1:11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</row>
    <row r="155" spans="1:11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</row>
    <row r="156" spans="1:11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</row>
    <row r="157" spans="1:11" x14ac:dyDescent="0.2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</row>
    <row r="158" spans="1:11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</row>
    <row r="159" spans="1:11" x14ac:dyDescent="0.2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</row>
    <row r="160" spans="1:11" x14ac:dyDescent="0.2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</row>
    <row r="161" spans="1:11" x14ac:dyDescent="0.2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</row>
    <row r="162" spans="1:11" x14ac:dyDescent="0.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</row>
    <row r="163" spans="1:11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</row>
    <row r="164" spans="1:11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</row>
    <row r="165" spans="1:11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</row>
    <row r="166" spans="1:11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</row>
    <row r="167" spans="1:11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</row>
    <row r="168" spans="1:11" x14ac:dyDescent="0.2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</row>
    <row r="169" spans="1:11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</row>
    <row r="170" spans="1:11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</row>
    <row r="171" spans="1:11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</row>
    <row r="172" spans="1:11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</row>
    <row r="173" spans="1:11" x14ac:dyDescent="0.2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</row>
    <row r="174" spans="1:11" x14ac:dyDescent="0.2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</row>
    <row r="175" spans="1:11" x14ac:dyDescent="0.2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</row>
    <row r="176" spans="1:11" x14ac:dyDescent="0.2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</row>
    <row r="177" spans="1:11" x14ac:dyDescent="0.2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</row>
    <row r="178" spans="1:11" x14ac:dyDescent="0.2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</row>
    <row r="179" spans="1:11" x14ac:dyDescent="0.2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</row>
    <row r="180" spans="1:11" x14ac:dyDescent="0.2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</row>
    <row r="181" spans="1:11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</row>
    <row r="182" spans="1:11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</row>
    <row r="183" spans="1:11" x14ac:dyDescent="0.2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</row>
    <row r="184" spans="1:11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</row>
    <row r="185" spans="1:11" x14ac:dyDescent="0.2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</row>
    <row r="186" spans="1:11" x14ac:dyDescent="0.2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</row>
    <row r="187" spans="1:11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</row>
    <row r="188" spans="1:11" x14ac:dyDescent="0.2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</row>
    <row r="189" spans="1:11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</row>
    <row r="190" spans="1:11" x14ac:dyDescent="0.2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</row>
    <row r="191" spans="1:11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</row>
    <row r="192" spans="1:11" x14ac:dyDescent="0.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</row>
    <row r="193" spans="1:11" x14ac:dyDescent="0.2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</row>
    <row r="194" spans="1:11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</row>
    <row r="195" spans="1:11" x14ac:dyDescent="0.2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</row>
    <row r="196" spans="1:11" x14ac:dyDescent="0.2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</row>
    <row r="197" spans="1:11" x14ac:dyDescent="0.2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</row>
    <row r="198" spans="1:11" x14ac:dyDescent="0.2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</row>
    <row r="199" spans="1:11" x14ac:dyDescent="0.2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</row>
    <row r="200" spans="1:11" x14ac:dyDescent="0.2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</row>
    <row r="201" spans="1:11" x14ac:dyDescent="0.2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</row>
    <row r="202" spans="1:11" x14ac:dyDescent="0.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</row>
    <row r="203" spans="1:11" x14ac:dyDescent="0.2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</row>
    <row r="204" spans="1:11" x14ac:dyDescent="0.2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</row>
    <row r="205" spans="1:11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</row>
    <row r="206" spans="1:11" x14ac:dyDescent="0.2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</row>
    <row r="207" spans="1:11" x14ac:dyDescent="0.2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</row>
    <row r="208" spans="1:11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</row>
    <row r="209" spans="1:11" x14ac:dyDescent="0.2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</row>
    <row r="210" spans="1:11" x14ac:dyDescent="0.2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</row>
    <row r="211" spans="1:11" x14ac:dyDescent="0.2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</row>
    <row r="212" spans="1:11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</row>
    <row r="213" spans="1:11" x14ac:dyDescent="0.2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</row>
    <row r="214" spans="1:11" x14ac:dyDescent="0.2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</row>
    <row r="215" spans="1:11" x14ac:dyDescent="0.2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</row>
    <row r="216" spans="1:11" x14ac:dyDescent="0.2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</row>
    <row r="217" spans="1:11" x14ac:dyDescent="0.2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</row>
    <row r="218" spans="1:11" x14ac:dyDescent="0.2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</row>
    <row r="219" spans="1:11" x14ac:dyDescent="0.2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</row>
    <row r="220" spans="1:11" x14ac:dyDescent="0.2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</row>
    <row r="221" spans="1:11" x14ac:dyDescent="0.2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</row>
    <row r="222" spans="1:11" x14ac:dyDescent="0.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</row>
    <row r="223" spans="1:11" x14ac:dyDescent="0.2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</row>
    <row r="224" spans="1:11" x14ac:dyDescent="0.2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</row>
    <row r="225" spans="1:11" x14ac:dyDescent="0.2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</row>
    <row r="226" spans="1:11" x14ac:dyDescent="0.2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</row>
    <row r="227" spans="1:11" x14ac:dyDescent="0.2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</row>
    <row r="228" spans="1:11" x14ac:dyDescent="0.2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</row>
    <row r="229" spans="1:11" x14ac:dyDescent="0.2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</row>
    <row r="230" spans="1:11" x14ac:dyDescent="0.2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</row>
    <row r="231" spans="1:11" x14ac:dyDescent="0.2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</row>
    <row r="232" spans="1:11" x14ac:dyDescent="0.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</row>
    <row r="233" spans="1:11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</row>
    <row r="234" spans="1:11" x14ac:dyDescent="0.2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</row>
    <row r="235" spans="1:11" x14ac:dyDescent="0.2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</row>
    <row r="236" spans="1:11" x14ac:dyDescent="0.2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</row>
    <row r="237" spans="1:11" x14ac:dyDescent="0.2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</row>
    <row r="238" spans="1:11" x14ac:dyDescent="0.2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</row>
    <row r="239" spans="1:11" x14ac:dyDescent="0.2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</row>
    <row r="240" spans="1:11" x14ac:dyDescent="0.2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</row>
    <row r="241" spans="1:11" x14ac:dyDescent="0.2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</row>
    <row r="242" spans="1:11" x14ac:dyDescent="0.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</row>
    <row r="243" spans="1:11" x14ac:dyDescent="0.2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</row>
    <row r="244" spans="1:11" x14ac:dyDescent="0.2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</row>
    <row r="245" spans="1:11" x14ac:dyDescent="0.2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</row>
    <row r="246" spans="1:11" x14ac:dyDescent="0.2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</row>
    <row r="247" spans="1:11" x14ac:dyDescent="0.2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</row>
    <row r="248" spans="1:11" x14ac:dyDescent="0.2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</row>
    <row r="249" spans="1:11" x14ac:dyDescent="0.2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</row>
    <row r="250" spans="1:11" x14ac:dyDescent="0.2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</row>
    <row r="251" spans="1:11" x14ac:dyDescent="0.2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</row>
    <row r="252" spans="1:11" x14ac:dyDescent="0.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</row>
    <row r="253" spans="1:11" x14ac:dyDescent="0.2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</row>
    <row r="254" spans="1:11" x14ac:dyDescent="0.2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</row>
    <row r="255" spans="1:11" x14ac:dyDescent="0.2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</row>
    <row r="256" spans="1:11" x14ac:dyDescent="0.2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</row>
    <row r="257" spans="1:11" x14ac:dyDescent="0.2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</row>
    <row r="258" spans="1:11" x14ac:dyDescent="0.2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</row>
    <row r="259" spans="1:11" x14ac:dyDescent="0.2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</row>
    <row r="260" spans="1:11" x14ac:dyDescent="0.2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</row>
    <row r="261" spans="1:11" x14ac:dyDescent="0.2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</row>
    <row r="262" spans="1:11" x14ac:dyDescent="0.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</row>
    <row r="263" spans="1:11" x14ac:dyDescent="0.2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</row>
    <row r="264" spans="1:11" x14ac:dyDescent="0.2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</row>
    <row r="265" spans="1:11" x14ac:dyDescent="0.2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</row>
    <row r="266" spans="1:11" x14ac:dyDescent="0.2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</row>
    <row r="267" spans="1:11" x14ac:dyDescent="0.2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</row>
    <row r="268" spans="1:11" x14ac:dyDescent="0.2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</row>
    <row r="269" spans="1:11" x14ac:dyDescent="0.2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</row>
    <row r="270" spans="1:11" x14ac:dyDescent="0.2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</row>
    <row r="271" spans="1:11" x14ac:dyDescent="0.2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</row>
    <row r="272" spans="1:11" x14ac:dyDescent="0.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</row>
    <row r="273" spans="1:11" x14ac:dyDescent="0.2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</row>
    <row r="274" spans="1:11" x14ac:dyDescent="0.2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</row>
    <row r="275" spans="1:11" x14ac:dyDescent="0.2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</row>
    <row r="276" spans="1:11" x14ac:dyDescent="0.2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</row>
    <row r="277" spans="1:11" x14ac:dyDescent="0.2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</row>
    <row r="278" spans="1:11" x14ac:dyDescent="0.2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</row>
    <row r="279" spans="1:11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</row>
    <row r="280" spans="1:11" x14ac:dyDescent="0.2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</row>
    <row r="281" spans="1:11" x14ac:dyDescent="0.2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</row>
    <row r="282" spans="1:11" x14ac:dyDescent="0.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</row>
    <row r="283" spans="1:11" x14ac:dyDescent="0.2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</row>
    <row r="284" spans="1:11" x14ac:dyDescent="0.2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</row>
    <row r="285" spans="1:11" x14ac:dyDescent="0.2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</row>
    <row r="286" spans="1:11" x14ac:dyDescent="0.2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</row>
    <row r="287" spans="1:11" x14ac:dyDescent="0.2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</row>
    <row r="288" spans="1:11" x14ac:dyDescent="0.2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</row>
    <row r="289" spans="1:11" x14ac:dyDescent="0.2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</row>
    <row r="290" spans="1:11" x14ac:dyDescent="0.2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</row>
    <row r="291" spans="1:11" x14ac:dyDescent="0.2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</row>
    <row r="292" spans="1:11" x14ac:dyDescent="0.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</row>
    <row r="293" spans="1:11" x14ac:dyDescent="0.2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</row>
    <row r="294" spans="1:11" x14ac:dyDescent="0.2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</row>
    <row r="295" spans="1:11" x14ac:dyDescent="0.2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</row>
    <row r="296" spans="1:11" x14ac:dyDescent="0.2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</row>
    <row r="297" spans="1:11" x14ac:dyDescent="0.2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</row>
    <row r="298" spans="1:11" x14ac:dyDescent="0.2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</row>
    <row r="299" spans="1:11" x14ac:dyDescent="0.2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</row>
    <row r="300" spans="1:11" x14ac:dyDescent="0.2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</row>
    <row r="301" spans="1:11" x14ac:dyDescent="0.2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</row>
    <row r="302" spans="1:11" x14ac:dyDescent="0.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</row>
    <row r="303" spans="1:11" x14ac:dyDescent="0.2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</row>
    <row r="304" spans="1:11" x14ac:dyDescent="0.2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</row>
    <row r="305" spans="1:11" x14ac:dyDescent="0.2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</row>
    <row r="306" spans="1:11" x14ac:dyDescent="0.2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</row>
    <row r="307" spans="1:11" x14ac:dyDescent="0.2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</row>
    <row r="308" spans="1:11" x14ac:dyDescent="0.2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</row>
    <row r="309" spans="1:11" x14ac:dyDescent="0.2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</row>
    <row r="310" spans="1:11" x14ac:dyDescent="0.2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</row>
    <row r="311" spans="1:11" x14ac:dyDescent="0.2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</row>
    <row r="312" spans="1:11" x14ac:dyDescent="0.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</row>
    <row r="313" spans="1:11" x14ac:dyDescent="0.2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</row>
    <row r="314" spans="1:11" x14ac:dyDescent="0.2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</row>
    <row r="315" spans="1:11" x14ac:dyDescent="0.2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</row>
    <row r="316" spans="1:11" x14ac:dyDescent="0.2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</row>
    <row r="317" spans="1:11" x14ac:dyDescent="0.2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</row>
    <row r="318" spans="1:11" x14ac:dyDescent="0.2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</row>
    <row r="319" spans="1:11" x14ac:dyDescent="0.2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</row>
    <row r="320" spans="1:11" x14ac:dyDescent="0.2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</row>
    <row r="321" spans="1:11" x14ac:dyDescent="0.2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</row>
    <row r="322" spans="1:11" x14ac:dyDescent="0.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</row>
    <row r="323" spans="1:11" x14ac:dyDescent="0.2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</row>
    <row r="324" spans="1:11" x14ac:dyDescent="0.2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</row>
    <row r="325" spans="1:11" x14ac:dyDescent="0.2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</row>
    <row r="326" spans="1:11" x14ac:dyDescent="0.2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</row>
    <row r="327" spans="1:11" x14ac:dyDescent="0.2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</row>
    <row r="328" spans="1:11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</row>
    <row r="329" spans="1:11" x14ac:dyDescent="0.2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</row>
    <row r="330" spans="1:11" x14ac:dyDescent="0.2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</row>
    <row r="331" spans="1:11" x14ac:dyDescent="0.2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</row>
    <row r="332" spans="1:11" x14ac:dyDescent="0.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</row>
    <row r="333" spans="1:11" x14ac:dyDescent="0.2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</row>
    <row r="334" spans="1:11" x14ac:dyDescent="0.2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</row>
    <row r="335" spans="1:11" x14ac:dyDescent="0.2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</row>
    <row r="336" spans="1:11" x14ac:dyDescent="0.2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</row>
    <row r="337" spans="1:11" x14ac:dyDescent="0.2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</row>
    <row r="338" spans="1:11" x14ac:dyDescent="0.2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</row>
    <row r="339" spans="1:11" x14ac:dyDescent="0.2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</row>
    <row r="340" spans="1:11" x14ac:dyDescent="0.2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</row>
    <row r="341" spans="1:11" x14ac:dyDescent="0.2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</row>
    <row r="342" spans="1:11" x14ac:dyDescent="0.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</row>
    <row r="343" spans="1:11" x14ac:dyDescent="0.2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</row>
    <row r="344" spans="1:11" x14ac:dyDescent="0.2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</row>
    <row r="345" spans="1:11" x14ac:dyDescent="0.2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</row>
    <row r="346" spans="1:11" x14ac:dyDescent="0.2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</row>
    <row r="347" spans="1:11" x14ac:dyDescent="0.2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</row>
    <row r="348" spans="1:11" x14ac:dyDescent="0.2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</row>
    <row r="349" spans="1:11" x14ac:dyDescent="0.2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</row>
    <row r="350" spans="1:11" x14ac:dyDescent="0.2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</row>
    <row r="351" spans="1:11" x14ac:dyDescent="0.2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</row>
    <row r="352" spans="1:11" x14ac:dyDescent="0.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</row>
    <row r="353" spans="1:11" x14ac:dyDescent="0.2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</row>
    <row r="354" spans="1:11" x14ac:dyDescent="0.2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</row>
    <row r="355" spans="1:11" x14ac:dyDescent="0.2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</row>
    <row r="356" spans="1:11" x14ac:dyDescent="0.2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</row>
    <row r="357" spans="1:11" x14ac:dyDescent="0.2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</row>
    <row r="358" spans="1:11" x14ac:dyDescent="0.2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</row>
    <row r="359" spans="1:11" x14ac:dyDescent="0.2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</row>
    <row r="360" spans="1:11" x14ac:dyDescent="0.2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</row>
    <row r="361" spans="1:11" x14ac:dyDescent="0.2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</row>
    <row r="362" spans="1:11" x14ac:dyDescent="0.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</row>
    <row r="363" spans="1:11" x14ac:dyDescent="0.2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</row>
    <row r="364" spans="1:11" x14ac:dyDescent="0.2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</row>
    <row r="365" spans="1:11" x14ac:dyDescent="0.2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</row>
    <row r="366" spans="1:11" x14ac:dyDescent="0.2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</row>
    <row r="367" spans="1:11" x14ac:dyDescent="0.2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</row>
    <row r="368" spans="1:11" x14ac:dyDescent="0.2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</row>
    <row r="369" spans="1:11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</row>
    <row r="370" spans="1:11" x14ac:dyDescent="0.2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</row>
    <row r="371" spans="1:11" x14ac:dyDescent="0.2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</row>
    <row r="372" spans="1:11" x14ac:dyDescent="0.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</row>
    <row r="373" spans="1:11" x14ac:dyDescent="0.2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</row>
    <row r="374" spans="1:11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</row>
    <row r="375" spans="1:11" x14ac:dyDescent="0.2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</row>
    <row r="376" spans="1:11" x14ac:dyDescent="0.2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</row>
    <row r="377" spans="1:11" x14ac:dyDescent="0.2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</row>
    <row r="378" spans="1:11" x14ac:dyDescent="0.2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</row>
    <row r="379" spans="1:11" x14ac:dyDescent="0.2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</row>
    <row r="380" spans="1:11" x14ac:dyDescent="0.2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</row>
    <row r="381" spans="1:11" x14ac:dyDescent="0.2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</row>
    <row r="382" spans="1:11" x14ac:dyDescent="0.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</row>
    <row r="383" spans="1:11" x14ac:dyDescent="0.2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</row>
    <row r="384" spans="1:11" x14ac:dyDescent="0.2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</row>
    <row r="385" spans="1:11" x14ac:dyDescent="0.2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</row>
    <row r="386" spans="1:11" x14ac:dyDescent="0.2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</row>
    <row r="387" spans="1:11" x14ac:dyDescent="0.2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</row>
    <row r="388" spans="1:11" x14ac:dyDescent="0.2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</row>
    <row r="389" spans="1:11" x14ac:dyDescent="0.2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</row>
    <row r="390" spans="1:11" x14ac:dyDescent="0.2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</row>
    <row r="391" spans="1:11" x14ac:dyDescent="0.2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</row>
    <row r="392" spans="1:11" x14ac:dyDescent="0.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</row>
    <row r="393" spans="1:11" x14ac:dyDescent="0.2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</row>
    <row r="394" spans="1:11" x14ac:dyDescent="0.2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</row>
    <row r="395" spans="1:11" x14ac:dyDescent="0.2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</row>
    <row r="396" spans="1:11" x14ac:dyDescent="0.2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</row>
    <row r="397" spans="1:11" x14ac:dyDescent="0.2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</row>
    <row r="398" spans="1:11" x14ac:dyDescent="0.2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</row>
    <row r="399" spans="1:11" x14ac:dyDescent="0.2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</row>
    <row r="400" spans="1:11" x14ac:dyDescent="0.2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</row>
    <row r="401" spans="1:11" x14ac:dyDescent="0.2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</row>
    <row r="402" spans="1:11" x14ac:dyDescent="0.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</row>
    <row r="403" spans="1:11" x14ac:dyDescent="0.2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</row>
    <row r="404" spans="1:11" x14ac:dyDescent="0.2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</row>
    <row r="405" spans="1:11" x14ac:dyDescent="0.2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</row>
    <row r="406" spans="1:11" x14ac:dyDescent="0.2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</row>
    <row r="407" spans="1:11" x14ac:dyDescent="0.2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</row>
    <row r="408" spans="1:11" x14ac:dyDescent="0.2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</row>
    <row r="409" spans="1:11" x14ac:dyDescent="0.2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</row>
    <row r="410" spans="1:11" x14ac:dyDescent="0.2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</row>
    <row r="411" spans="1:11" x14ac:dyDescent="0.2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</row>
    <row r="412" spans="1:11" x14ac:dyDescent="0.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</row>
    <row r="413" spans="1:11" x14ac:dyDescent="0.2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</row>
    <row r="414" spans="1:11" x14ac:dyDescent="0.2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</row>
    <row r="415" spans="1:11" x14ac:dyDescent="0.2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</row>
    <row r="416" spans="1:11" x14ac:dyDescent="0.2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</row>
    <row r="417" spans="1:11" x14ac:dyDescent="0.2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</row>
    <row r="418" spans="1:11" x14ac:dyDescent="0.2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</row>
    <row r="419" spans="1:11" x14ac:dyDescent="0.2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</row>
    <row r="420" spans="1:11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</row>
    <row r="421" spans="1:11" x14ac:dyDescent="0.2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</row>
    <row r="422" spans="1:11" x14ac:dyDescent="0.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</row>
    <row r="423" spans="1:11" x14ac:dyDescent="0.2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</row>
    <row r="424" spans="1:11" x14ac:dyDescent="0.2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</row>
    <row r="425" spans="1:11" x14ac:dyDescent="0.2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</row>
    <row r="426" spans="1:11" x14ac:dyDescent="0.2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</row>
    <row r="427" spans="1:11" x14ac:dyDescent="0.2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</row>
    <row r="428" spans="1:11" x14ac:dyDescent="0.2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</row>
    <row r="429" spans="1:11" x14ac:dyDescent="0.2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</row>
    <row r="430" spans="1:11" x14ac:dyDescent="0.2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</row>
    <row r="431" spans="1:11" x14ac:dyDescent="0.2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</row>
    <row r="432" spans="1:11" x14ac:dyDescent="0.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</row>
    <row r="433" spans="1:11" x14ac:dyDescent="0.2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</row>
    <row r="434" spans="1:11" x14ac:dyDescent="0.2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</row>
    <row r="435" spans="1:11" x14ac:dyDescent="0.2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</row>
    <row r="436" spans="1:11" x14ac:dyDescent="0.2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</row>
    <row r="437" spans="1:11" x14ac:dyDescent="0.2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</row>
    <row r="438" spans="1:11" x14ac:dyDescent="0.2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</row>
    <row r="439" spans="1:11" x14ac:dyDescent="0.2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</row>
    <row r="440" spans="1:11" x14ac:dyDescent="0.2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</row>
    <row r="441" spans="1:11" x14ac:dyDescent="0.2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</row>
    <row r="442" spans="1:11" x14ac:dyDescent="0.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</row>
    <row r="443" spans="1:11" x14ac:dyDescent="0.2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</row>
    <row r="444" spans="1:11" x14ac:dyDescent="0.2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</row>
    <row r="445" spans="1:11" x14ac:dyDescent="0.2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</row>
    <row r="446" spans="1:11" x14ac:dyDescent="0.2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</row>
    <row r="447" spans="1:11" x14ac:dyDescent="0.2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</row>
    <row r="448" spans="1:11" x14ac:dyDescent="0.2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</row>
    <row r="449" spans="1:11" x14ac:dyDescent="0.2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</row>
    <row r="450" spans="1:11" x14ac:dyDescent="0.2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</row>
    <row r="451" spans="1:11" x14ac:dyDescent="0.2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</row>
    <row r="452" spans="1:11" x14ac:dyDescent="0.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</row>
    <row r="453" spans="1:11" x14ac:dyDescent="0.2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</row>
    <row r="454" spans="1:11" x14ac:dyDescent="0.2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</row>
    <row r="455" spans="1:11" x14ac:dyDescent="0.2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</row>
    <row r="456" spans="1:11" x14ac:dyDescent="0.2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</row>
    <row r="457" spans="1:11" x14ac:dyDescent="0.2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</row>
    <row r="458" spans="1:11" x14ac:dyDescent="0.2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</row>
    <row r="459" spans="1:11" x14ac:dyDescent="0.2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</row>
    <row r="460" spans="1:11" x14ac:dyDescent="0.2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</row>
    <row r="461" spans="1:11" x14ac:dyDescent="0.2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</row>
    <row r="462" spans="1:11" x14ac:dyDescent="0.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</row>
    <row r="463" spans="1:11" x14ac:dyDescent="0.2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</row>
    <row r="464" spans="1:11" x14ac:dyDescent="0.2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</row>
    <row r="465" spans="1:11" x14ac:dyDescent="0.2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</row>
    <row r="466" spans="1:11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</row>
    <row r="467" spans="1:11" x14ac:dyDescent="0.2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</row>
    <row r="468" spans="1:11" x14ac:dyDescent="0.2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</row>
    <row r="469" spans="1:11" x14ac:dyDescent="0.2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</row>
    <row r="470" spans="1:11" x14ac:dyDescent="0.2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</row>
    <row r="471" spans="1:11" x14ac:dyDescent="0.2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</row>
    <row r="472" spans="1:11" x14ac:dyDescent="0.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</row>
    <row r="473" spans="1:11" x14ac:dyDescent="0.2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</row>
    <row r="474" spans="1:11" x14ac:dyDescent="0.2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</row>
    <row r="475" spans="1:11" x14ac:dyDescent="0.2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</row>
    <row r="476" spans="1:11" x14ac:dyDescent="0.2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</row>
    <row r="477" spans="1:11" x14ac:dyDescent="0.2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</row>
    <row r="478" spans="1:11" x14ac:dyDescent="0.2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</row>
    <row r="479" spans="1:11" x14ac:dyDescent="0.2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</row>
    <row r="480" spans="1:11" x14ac:dyDescent="0.2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</row>
    <row r="481" spans="1:11" x14ac:dyDescent="0.2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</row>
    <row r="482" spans="1:11" x14ac:dyDescent="0.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</row>
    <row r="483" spans="1:11" x14ac:dyDescent="0.2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</row>
    <row r="484" spans="1:11" x14ac:dyDescent="0.2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</row>
    <row r="485" spans="1:11" x14ac:dyDescent="0.2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</row>
    <row r="486" spans="1:11" x14ac:dyDescent="0.2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</row>
    <row r="487" spans="1:11" x14ac:dyDescent="0.2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</row>
    <row r="488" spans="1:11" x14ac:dyDescent="0.2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</row>
    <row r="489" spans="1:11" x14ac:dyDescent="0.2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</row>
    <row r="490" spans="1:11" x14ac:dyDescent="0.2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</row>
    <row r="491" spans="1:11" x14ac:dyDescent="0.2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</row>
    <row r="492" spans="1:11" x14ac:dyDescent="0.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</row>
    <row r="493" spans="1:11" x14ac:dyDescent="0.2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</row>
    <row r="494" spans="1:11" x14ac:dyDescent="0.2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</row>
    <row r="495" spans="1:11" x14ac:dyDescent="0.2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</row>
    <row r="496" spans="1:11" x14ac:dyDescent="0.2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</row>
    <row r="497" spans="1:11" x14ac:dyDescent="0.2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</row>
    <row r="498" spans="1:11" x14ac:dyDescent="0.2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</row>
    <row r="499" spans="1:11" x14ac:dyDescent="0.2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</row>
    <row r="500" spans="1:11" x14ac:dyDescent="0.2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</row>
    <row r="501" spans="1:11" x14ac:dyDescent="0.2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</row>
    <row r="502" spans="1:11" x14ac:dyDescent="0.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</row>
    <row r="503" spans="1:11" x14ac:dyDescent="0.2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</row>
    <row r="504" spans="1:11" x14ac:dyDescent="0.2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</row>
    <row r="505" spans="1:11" x14ac:dyDescent="0.2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</row>
    <row r="506" spans="1:11" x14ac:dyDescent="0.2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</row>
    <row r="507" spans="1:11" x14ac:dyDescent="0.2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</row>
    <row r="508" spans="1:11" x14ac:dyDescent="0.2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</row>
    <row r="509" spans="1:11" x14ac:dyDescent="0.2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</row>
    <row r="510" spans="1:11" x14ac:dyDescent="0.2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</row>
    <row r="511" spans="1:11" x14ac:dyDescent="0.2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</row>
    <row r="512" spans="1:11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</row>
    <row r="513" spans="1:11" x14ac:dyDescent="0.2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</row>
    <row r="514" spans="1:11" x14ac:dyDescent="0.2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</row>
    <row r="515" spans="1:11" x14ac:dyDescent="0.2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</row>
    <row r="516" spans="1:11" x14ac:dyDescent="0.2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</row>
    <row r="517" spans="1:11" x14ac:dyDescent="0.2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</row>
    <row r="518" spans="1:11" x14ac:dyDescent="0.2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</row>
    <row r="519" spans="1:11" x14ac:dyDescent="0.2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</row>
    <row r="520" spans="1:11" x14ac:dyDescent="0.2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</row>
    <row r="521" spans="1:11" x14ac:dyDescent="0.2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</row>
    <row r="522" spans="1:11" x14ac:dyDescent="0.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</row>
    <row r="523" spans="1:11" x14ac:dyDescent="0.2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</row>
    <row r="524" spans="1:11" x14ac:dyDescent="0.2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</row>
    <row r="525" spans="1:11" x14ac:dyDescent="0.2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</row>
    <row r="526" spans="1:11" x14ac:dyDescent="0.2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</row>
    <row r="527" spans="1:11" x14ac:dyDescent="0.2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</row>
    <row r="528" spans="1:11" x14ac:dyDescent="0.2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</row>
    <row r="529" spans="1:11" x14ac:dyDescent="0.2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</row>
    <row r="530" spans="1:11" x14ac:dyDescent="0.2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</row>
    <row r="531" spans="1:11" x14ac:dyDescent="0.2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</row>
    <row r="532" spans="1:11" x14ac:dyDescent="0.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</row>
    <row r="533" spans="1:11" x14ac:dyDescent="0.2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</row>
    <row r="534" spans="1:11" x14ac:dyDescent="0.2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</row>
    <row r="535" spans="1:11" x14ac:dyDescent="0.2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</row>
    <row r="536" spans="1:11" x14ac:dyDescent="0.2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</row>
    <row r="537" spans="1:11" x14ac:dyDescent="0.2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</row>
    <row r="538" spans="1:11" x14ac:dyDescent="0.2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</row>
    <row r="539" spans="1:11" x14ac:dyDescent="0.2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</row>
    <row r="540" spans="1:11" x14ac:dyDescent="0.2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</row>
    <row r="541" spans="1:11" x14ac:dyDescent="0.2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</row>
    <row r="542" spans="1:11" x14ac:dyDescent="0.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</row>
    <row r="543" spans="1:11" x14ac:dyDescent="0.2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</row>
    <row r="544" spans="1:11" x14ac:dyDescent="0.2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</row>
    <row r="545" spans="1:11" x14ac:dyDescent="0.2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</row>
    <row r="546" spans="1:11" x14ac:dyDescent="0.2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</row>
    <row r="547" spans="1:11" x14ac:dyDescent="0.2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</row>
    <row r="548" spans="1:11" x14ac:dyDescent="0.2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</row>
    <row r="549" spans="1:11" x14ac:dyDescent="0.2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</row>
    <row r="550" spans="1:11" x14ac:dyDescent="0.2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</row>
    <row r="551" spans="1:11" x14ac:dyDescent="0.2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</row>
    <row r="552" spans="1:11" x14ac:dyDescent="0.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</row>
    <row r="553" spans="1:11" x14ac:dyDescent="0.2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</row>
    <row r="554" spans="1:11" x14ac:dyDescent="0.2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</row>
    <row r="555" spans="1:11" x14ac:dyDescent="0.2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</row>
    <row r="556" spans="1:11" x14ac:dyDescent="0.2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</row>
    <row r="557" spans="1:11" x14ac:dyDescent="0.2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</row>
    <row r="558" spans="1:11" x14ac:dyDescent="0.2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</row>
    <row r="559" spans="1:11" x14ac:dyDescent="0.2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</row>
    <row r="560" spans="1:11" x14ac:dyDescent="0.2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</row>
    <row r="561" spans="1:11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</row>
    <row r="562" spans="1:11" x14ac:dyDescent="0.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</row>
    <row r="563" spans="1:11" x14ac:dyDescent="0.2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</row>
    <row r="564" spans="1:11" x14ac:dyDescent="0.2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</row>
    <row r="565" spans="1:11" x14ac:dyDescent="0.2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</row>
    <row r="566" spans="1:11" x14ac:dyDescent="0.2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</row>
    <row r="567" spans="1:11" x14ac:dyDescent="0.2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</row>
    <row r="568" spans="1:11" x14ac:dyDescent="0.2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</row>
    <row r="569" spans="1:11" x14ac:dyDescent="0.2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</row>
    <row r="570" spans="1:11" x14ac:dyDescent="0.2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</row>
    <row r="571" spans="1:11" x14ac:dyDescent="0.2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</row>
    <row r="572" spans="1:11" x14ac:dyDescent="0.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</row>
    <row r="573" spans="1:11" x14ac:dyDescent="0.2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</row>
    <row r="574" spans="1:11" x14ac:dyDescent="0.2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</row>
    <row r="575" spans="1:11" x14ac:dyDescent="0.2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</row>
    <row r="576" spans="1:11" x14ac:dyDescent="0.2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</row>
    <row r="577" spans="1:11" x14ac:dyDescent="0.2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</row>
    <row r="578" spans="1:11" x14ac:dyDescent="0.2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</row>
    <row r="579" spans="1:11" x14ac:dyDescent="0.2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</row>
    <row r="580" spans="1:11" x14ac:dyDescent="0.2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</row>
    <row r="581" spans="1:11" x14ac:dyDescent="0.2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</row>
    <row r="582" spans="1:11" x14ac:dyDescent="0.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</row>
    <row r="583" spans="1:11" x14ac:dyDescent="0.2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</row>
    <row r="584" spans="1:11" x14ac:dyDescent="0.2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</row>
    <row r="585" spans="1:11" x14ac:dyDescent="0.2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</row>
    <row r="586" spans="1:11" x14ac:dyDescent="0.2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</row>
    <row r="587" spans="1:11" x14ac:dyDescent="0.2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</row>
    <row r="588" spans="1:11" x14ac:dyDescent="0.2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</row>
    <row r="589" spans="1:11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</row>
    <row r="590" spans="1:11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</row>
    <row r="591" spans="1:11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</row>
    <row r="592" spans="1:11" x14ac:dyDescent="0.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</row>
    <row r="593" spans="1:11" x14ac:dyDescent="0.2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</row>
    <row r="594" spans="1:11" x14ac:dyDescent="0.2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</row>
    <row r="595" spans="1:11" x14ac:dyDescent="0.2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</row>
    <row r="596" spans="1:11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</row>
    <row r="597" spans="1:11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</row>
    <row r="598" spans="1:1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</row>
    <row r="599" spans="1:1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</row>
    <row r="600" spans="1:11" x14ac:dyDescent="0.2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</row>
    <row r="601" spans="1:11" x14ac:dyDescent="0.2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</row>
    <row r="602" spans="1:11" x14ac:dyDescent="0.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</row>
    <row r="603" spans="1:11" x14ac:dyDescent="0.2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</row>
    <row r="604" spans="1:11" x14ac:dyDescent="0.2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</row>
    <row r="605" spans="1:11" x14ac:dyDescent="0.2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</row>
    <row r="606" spans="1:11" x14ac:dyDescent="0.2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</row>
    <row r="607" spans="1:11" x14ac:dyDescent="0.2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</row>
    <row r="608" spans="1:11" x14ac:dyDescent="0.2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</row>
    <row r="609" spans="1:11" x14ac:dyDescent="0.2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</row>
    <row r="610" spans="1:11" x14ac:dyDescent="0.2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</row>
    <row r="611" spans="1:11" x14ac:dyDescent="0.2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</row>
    <row r="612" spans="1:11" x14ac:dyDescent="0.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</row>
    <row r="613" spans="1:11" x14ac:dyDescent="0.2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</row>
    <row r="614" spans="1:11" x14ac:dyDescent="0.2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</row>
    <row r="615" spans="1:11" x14ac:dyDescent="0.2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</row>
    <row r="616" spans="1:11" x14ac:dyDescent="0.2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</row>
    <row r="617" spans="1:11" x14ac:dyDescent="0.2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</row>
    <row r="618" spans="1:11" x14ac:dyDescent="0.2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</row>
    <row r="619" spans="1:11" x14ac:dyDescent="0.2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</row>
    <row r="620" spans="1:11" x14ac:dyDescent="0.2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</row>
    <row r="621" spans="1:11" x14ac:dyDescent="0.2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</row>
    <row r="622" spans="1:11" x14ac:dyDescent="0.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</row>
    <row r="623" spans="1:11" x14ac:dyDescent="0.2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</row>
    <row r="624" spans="1:11" x14ac:dyDescent="0.2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</row>
    <row r="625" spans="1:11" x14ac:dyDescent="0.2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</row>
    <row r="626" spans="1:11" x14ac:dyDescent="0.2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</row>
    <row r="627" spans="1:11" x14ac:dyDescent="0.2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</row>
    <row r="628" spans="1:11" x14ac:dyDescent="0.2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</row>
    <row r="629" spans="1:11" x14ac:dyDescent="0.2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</row>
    <row r="630" spans="1:11" x14ac:dyDescent="0.2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</row>
    <row r="631" spans="1:11" x14ac:dyDescent="0.2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</row>
    <row r="632" spans="1:11" x14ac:dyDescent="0.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</row>
    <row r="633" spans="1:11" x14ac:dyDescent="0.2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</row>
    <row r="634" spans="1:11" x14ac:dyDescent="0.2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</row>
    <row r="635" spans="1:11" x14ac:dyDescent="0.2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</row>
    <row r="636" spans="1:11" x14ac:dyDescent="0.2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</row>
    <row r="637" spans="1:11" x14ac:dyDescent="0.2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</row>
    <row r="638" spans="1:11" x14ac:dyDescent="0.2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</row>
    <row r="639" spans="1:11" x14ac:dyDescent="0.2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</row>
    <row r="640" spans="1:11" x14ac:dyDescent="0.2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</row>
    <row r="641" spans="1:11" x14ac:dyDescent="0.2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</row>
    <row r="642" spans="1:11" x14ac:dyDescent="0.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</row>
    <row r="643" spans="1:11" x14ac:dyDescent="0.2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</row>
    <row r="644" spans="1:11" x14ac:dyDescent="0.2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</row>
    <row r="645" spans="1:11" x14ac:dyDescent="0.2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</row>
    <row r="646" spans="1:11" x14ac:dyDescent="0.2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</row>
    <row r="647" spans="1:11" x14ac:dyDescent="0.2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</row>
    <row r="648" spans="1:11" x14ac:dyDescent="0.2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</row>
    <row r="649" spans="1:11" x14ac:dyDescent="0.2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</row>
    <row r="650" spans="1:11" x14ac:dyDescent="0.2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</row>
    <row r="651" spans="1:11" x14ac:dyDescent="0.2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</row>
    <row r="652" spans="1:11" x14ac:dyDescent="0.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</row>
    <row r="653" spans="1:11" x14ac:dyDescent="0.2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</row>
    <row r="654" spans="1:11" x14ac:dyDescent="0.2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</row>
    <row r="655" spans="1:11" x14ac:dyDescent="0.2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</row>
    <row r="656" spans="1:11" x14ac:dyDescent="0.2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</row>
    <row r="657" spans="1:11" x14ac:dyDescent="0.2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</row>
    <row r="658" spans="1:11" x14ac:dyDescent="0.2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</row>
    <row r="659" spans="1:11" x14ac:dyDescent="0.2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</row>
    <row r="660" spans="1:11" x14ac:dyDescent="0.2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</row>
    <row r="661" spans="1:11" x14ac:dyDescent="0.2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</row>
    <row r="662" spans="1:11" x14ac:dyDescent="0.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</row>
    <row r="663" spans="1:11" x14ac:dyDescent="0.2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</row>
    <row r="664" spans="1:11" x14ac:dyDescent="0.2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</row>
    <row r="665" spans="1:11" x14ac:dyDescent="0.2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</row>
    <row r="666" spans="1:11" x14ac:dyDescent="0.2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</row>
    <row r="667" spans="1:11" x14ac:dyDescent="0.2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</row>
    <row r="668" spans="1:11" x14ac:dyDescent="0.2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</row>
    <row r="669" spans="1:11" x14ac:dyDescent="0.2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</row>
    <row r="670" spans="1:11" x14ac:dyDescent="0.2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</row>
    <row r="671" spans="1:11" x14ac:dyDescent="0.2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</row>
    <row r="672" spans="1:11" x14ac:dyDescent="0.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</row>
    <row r="673" spans="1:11" x14ac:dyDescent="0.2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</row>
    <row r="674" spans="1:11" x14ac:dyDescent="0.2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</row>
    <row r="675" spans="1:11" x14ac:dyDescent="0.2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</row>
    <row r="676" spans="1:11" x14ac:dyDescent="0.2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</row>
    <row r="677" spans="1:11" x14ac:dyDescent="0.2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</row>
    <row r="678" spans="1:11" x14ac:dyDescent="0.2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</row>
    <row r="679" spans="1:11" x14ac:dyDescent="0.2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</row>
    <row r="680" spans="1:11" x14ac:dyDescent="0.2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</row>
    <row r="681" spans="1:11" x14ac:dyDescent="0.2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</row>
    <row r="682" spans="1:11" x14ac:dyDescent="0.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</row>
    <row r="683" spans="1:11" x14ac:dyDescent="0.2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</row>
    <row r="684" spans="1:11" x14ac:dyDescent="0.2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</row>
    <row r="685" spans="1:11" x14ac:dyDescent="0.2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</row>
    <row r="686" spans="1:11" x14ac:dyDescent="0.2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</row>
    <row r="687" spans="1:11" x14ac:dyDescent="0.2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</row>
    <row r="688" spans="1:11" x14ac:dyDescent="0.2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</row>
    <row r="689" spans="1:11" x14ac:dyDescent="0.2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</row>
    <row r="690" spans="1:11" x14ac:dyDescent="0.2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</row>
    <row r="691" spans="1:11" x14ac:dyDescent="0.2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</row>
    <row r="692" spans="1:11" x14ac:dyDescent="0.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</row>
    <row r="693" spans="1:11" x14ac:dyDescent="0.2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</row>
    <row r="694" spans="1:11" x14ac:dyDescent="0.2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</row>
    <row r="695" spans="1:11" x14ac:dyDescent="0.2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</row>
    <row r="696" spans="1:11" x14ac:dyDescent="0.2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</row>
    <row r="697" spans="1:11" x14ac:dyDescent="0.2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</row>
    <row r="698" spans="1:11" x14ac:dyDescent="0.2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</row>
    <row r="699" spans="1:11" x14ac:dyDescent="0.2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</row>
    <row r="700" spans="1:11" x14ac:dyDescent="0.2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</row>
    <row r="701" spans="1:11" x14ac:dyDescent="0.2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</row>
    <row r="702" spans="1:11" x14ac:dyDescent="0.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</row>
    <row r="703" spans="1:11" x14ac:dyDescent="0.2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</row>
    <row r="704" spans="1:11" x14ac:dyDescent="0.2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</row>
    <row r="705" spans="1:11" x14ac:dyDescent="0.2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</row>
    <row r="706" spans="1:11" x14ac:dyDescent="0.2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</row>
    <row r="707" spans="1:11" x14ac:dyDescent="0.2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</row>
    <row r="708" spans="1:11" x14ac:dyDescent="0.2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</row>
    <row r="709" spans="1:11" x14ac:dyDescent="0.2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</row>
    <row r="710" spans="1:11" x14ac:dyDescent="0.2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</row>
    <row r="711" spans="1:11" x14ac:dyDescent="0.2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</row>
    <row r="712" spans="1:11" x14ac:dyDescent="0.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</row>
    <row r="713" spans="1:11" x14ac:dyDescent="0.2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</row>
    <row r="714" spans="1:11" x14ac:dyDescent="0.2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</row>
    <row r="715" spans="1:11" x14ac:dyDescent="0.2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</row>
    <row r="716" spans="1:11" x14ac:dyDescent="0.2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</row>
    <row r="717" spans="1:11" x14ac:dyDescent="0.2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</row>
    <row r="718" spans="1:11" x14ac:dyDescent="0.2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</row>
    <row r="719" spans="1:11" x14ac:dyDescent="0.2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</row>
    <row r="720" spans="1:11" x14ac:dyDescent="0.2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</row>
    <row r="721" spans="1:11" x14ac:dyDescent="0.2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</row>
    <row r="722" spans="1:11" x14ac:dyDescent="0.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</row>
    <row r="723" spans="1:11" x14ac:dyDescent="0.2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</row>
    <row r="724" spans="1:11" x14ac:dyDescent="0.2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</row>
    <row r="725" spans="1:11" x14ac:dyDescent="0.2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</row>
    <row r="726" spans="1:11" x14ac:dyDescent="0.2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</row>
    <row r="727" spans="1:11" x14ac:dyDescent="0.2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</row>
    <row r="728" spans="1:11" x14ac:dyDescent="0.2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</row>
    <row r="729" spans="1:11" x14ac:dyDescent="0.2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</row>
    <row r="730" spans="1:11" x14ac:dyDescent="0.2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</row>
    <row r="731" spans="1:11" x14ac:dyDescent="0.2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</row>
    <row r="732" spans="1:11" x14ac:dyDescent="0.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</row>
    <row r="733" spans="1:11" x14ac:dyDescent="0.2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</row>
    <row r="734" spans="1:11" x14ac:dyDescent="0.2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</row>
    <row r="735" spans="1:11" x14ac:dyDescent="0.2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</row>
    <row r="736" spans="1:11" x14ac:dyDescent="0.2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</row>
    <row r="737" spans="1:11" x14ac:dyDescent="0.2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</row>
    <row r="738" spans="1:11" x14ac:dyDescent="0.2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</row>
    <row r="739" spans="1:11" x14ac:dyDescent="0.2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</row>
    <row r="740" spans="1:11" x14ac:dyDescent="0.2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</row>
    <row r="741" spans="1:11" x14ac:dyDescent="0.2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</row>
    <row r="742" spans="1:11" x14ac:dyDescent="0.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</row>
    <row r="743" spans="1:11" x14ac:dyDescent="0.2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</row>
    <row r="744" spans="1:11" x14ac:dyDescent="0.2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</row>
    <row r="745" spans="1:11" x14ac:dyDescent="0.2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</row>
    <row r="746" spans="1:11" x14ac:dyDescent="0.2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</row>
    <row r="747" spans="1:11" x14ac:dyDescent="0.2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</row>
    <row r="748" spans="1:11" x14ac:dyDescent="0.2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</row>
    <row r="749" spans="1:11" x14ac:dyDescent="0.2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</row>
    <row r="750" spans="1:11" x14ac:dyDescent="0.2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</row>
    <row r="751" spans="1:11" x14ac:dyDescent="0.2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</row>
    <row r="752" spans="1:11" x14ac:dyDescent="0.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</row>
    <row r="753" spans="1:11" x14ac:dyDescent="0.2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</row>
    <row r="754" spans="1:11" x14ac:dyDescent="0.2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</row>
    <row r="755" spans="1:11" x14ac:dyDescent="0.2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</row>
    <row r="756" spans="1:11" x14ac:dyDescent="0.2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</row>
    <row r="757" spans="1:11" x14ac:dyDescent="0.2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</row>
    <row r="758" spans="1:11" x14ac:dyDescent="0.2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</row>
    <row r="759" spans="1:11" x14ac:dyDescent="0.2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</row>
    <row r="760" spans="1:11" x14ac:dyDescent="0.2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</row>
    <row r="761" spans="1:11" x14ac:dyDescent="0.2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</row>
    <row r="762" spans="1:11" x14ac:dyDescent="0.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</row>
    <row r="763" spans="1:11" x14ac:dyDescent="0.2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</row>
    <row r="764" spans="1:11" x14ac:dyDescent="0.2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</row>
    <row r="765" spans="1:11" x14ac:dyDescent="0.2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</row>
    <row r="766" spans="1:11" x14ac:dyDescent="0.2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</row>
    <row r="767" spans="1:11" x14ac:dyDescent="0.2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</row>
    <row r="768" spans="1:11" x14ac:dyDescent="0.2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</row>
    <row r="769" spans="1:11" x14ac:dyDescent="0.2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</row>
    <row r="770" spans="1:11" x14ac:dyDescent="0.2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</row>
    <row r="771" spans="1:11" x14ac:dyDescent="0.2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</row>
    <row r="772" spans="1:11" x14ac:dyDescent="0.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</row>
    <row r="773" spans="1:11" x14ac:dyDescent="0.2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</row>
    <row r="774" spans="1:11" x14ac:dyDescent="0.2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</row>
    <row r="775" spans="1:11" x14ac:dyDescent="0.2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</row>
    <row r="776" spans="1:11" x14ac:dyDescent="0.2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</row>
    <row r="777" spans="1:11" x14ac:dyDescent="0.2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</row>
    <row r="778" spans="1:11" x14ac:dyDescent="0.2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</row>
    <row r="779" spans="1:11" x14ac:dyDescent="0.2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</row>
    <row r="780" spans="1:11" x14ac:dyDescent="0.2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</row>
    <row r="781" spans="1:11" x14ac:dyDescent="0.2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</row>
    <row r="782" spans="1:11" x14ac:dyDescent="0.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</row>
    <row r="783" spans="1:11" x14ac:dyDescent="0.2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</row>
    <row r="784" spans="1:11" x14ac:dyDescent="0.2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</row>
    <row r="785" spans="1:11" x14ac:dyDescent="0.2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</row>
    <row r="786" spans="1:11" x14ac:dyDescent="0.2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</row>
    <row r="787" spans="1:11" x14ac:dyDescent="0.2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</row>
    <row r="788" spans="1:11" x14ac:dyDescent="0.2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</row>
    <row r="789" spans="1:11" x14ac:dyDescent="0.2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</row>
    <row r="790" spans="1:11" x14ac:dyDescent="0.2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</row>
    <row r="791" spans="1:11" x14ac:dyDescent="0.2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</row>
    <row r="792" spans="1:11" x14ac:dyDescent="0.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</row>
    <row r="793" spans="1:11" x14ac:dyDescent="0.2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</row>
    <row r="794" spans="1:11" x14ac:dyDescent="0.2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</row>
    <row r="795" spans="1:11" x14ac:dyDescent="0.2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</row>
    <row r="796" spans="1:11" x14ac:dyDescent="0.2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</row>
    <row r="797" spans="1:11" x14ac:dyDescent="0.2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</row>
    <row r="798" spans="1:11" x14ac:dyDescent="0.2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</row>
    <row r="799" spans="1:11" x14ac:dyDescent="0.2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</row>
    <row r="800" spans="1:11" x14ac:dyDescent="0.2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</row>
    <row r="801" spans="1:11" x14ac:dyDescent="0.2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</row>
    <row r="802" spans="1:11" x14ac:dyDescent="0.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</row>
    <row r="803" spans="1:11" x14ac:dyDescent="0.2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</row>
    <row r="804" spans="1:11" x14ac:dyDescent="0.2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</row>
    <row r="805" spans="1:11" x14ac:dyDescent="0.2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</row>
    <row r="806" spans="1:11" x14ac:dyDescent="0.2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</row>
    <row r="807" spans="1:11" x14ac:dyDescent="0.2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</row>
    <row r="808" spans="1:11" x14ac:dyDescent="0.2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</row>
    <row r="809" spans="1:11" x14ac:dyDescent="0.2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</row>
    <row r="810" spans="1:11" x14ac:dyDescent="0.2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</row>
    <row r="811" spans="1:11" x14ac:dyDescent="0.2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</row>
    <row r="812" spans="1:11" x14ac:dyDescent="0.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</row>
    <row r="813" spans="1:11" x14ac:dyDescent="0.2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</row>
    <row r="814" spans="1:11" x14ac:dyDescent="0.2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</row>
    <row r="815" spans="1:11" x14ac:dyDescent="0.2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</row>
    <row r="816" spans="1:11" x14ac:dyDescent="0.2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</row>
    <row r="817" spans="1:11" x14ac:dyDescent="0.2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</row>
    <row r="818" spans="1:11" x14ac:dyDescent="0.2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</row>
    <row r="819" spans="1:11" x14ac:dyDescent="0.2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</row>
    <row r="820" spans="1:11" x14ac:dyDescent="0.2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</row>
    <row r="821" spans="1:11" x14ac:dyDescent="0.2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</row>
    <row r="822" spans="1:11" x14ac:dyDescent="0.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</row>
    <row r="823" spans="1:11" x14ac:dyDescent="0.2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</row>
    <row r="824" spans="1:11" x14ac:dyDescent="0.2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</row>
    <row r="825" spans="1:11" x14ac:dyDescent="0.2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</row>
    <row r="826" spans="1:11" x14ac:dyDescent="0.2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</row>
    <row r="827" spans="1:11" x14ac:dyDescent="0.2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</row>
    <row r="828" spans="1:11" x14ac:dyDescent="0.2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</row>
    <row r="829" spans="1:11" x14ac:dyDescent="0.2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</row>
    <row r="830" spans="1:11" x14ac:dyDescent="0.2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</row>
    <row r="831" spans="1:11" x14ac:dyDescent="0.2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</row>
    <row r="832" spans="1:11" x14ac:dyDescent="0.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</row>
    <row r="833" spans="1:11" x14ac:dyDescent="0.2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</row>
    <row r="834" spans="1:11" x14ac:dyDescent="0.2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</row>
    <row r="835" spans="1:11" x14ac:dyDescent="0.2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</row>
    <row r="836" spans="1:11" x14ac:dyDescent="0.2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</row>
    <row r="837" spans="1:11" x14ac:dyDescent="0.2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</row>
    <row r="838" spans="1:11" x14ac:dyDescent="0.2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</row>
    <row r="839" spans="1:11" x14ac:dyDescent="0.2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</row>
    <row r="840" spans="1:11" x14ac:dyDescent="0.2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</row>
    <row r="841" spans="1:11" x14ac:dyDescent="0.2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</row>
    <row r="842" spans="1:11" x14ac:dyDescent="0.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</row>
    <row r="843" spans="1:11" x14ac:dyDescent="0.2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</row>
    <row r="844" spans="1:11" x14ac:dyDescent="0.2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</row>
    <row r="845" spans="1:11" x14ac:dyDescent="0.2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</row>
    <row r="846" spans="1:11" x14ac:dyDescent="0.2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</row>
    <row r="847" spans="1:11" x14ac:dyDescent="0.2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</row>
    <row r="848" spans="1:11" x14ac:dyDescent="0.2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</row>
    <row r="849" spans="1:11" x14ac:dyDescent="0.2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</row>
    <row r="850" spans="1:11" x14ac:dyDescent="0.2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</row>
    <row r="851" spans="1:11" x14ac:dyDescent="0.2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</row>
    <row r="852" spans="1:11" x14ac:dyDescent="0.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</row>
    <row r="853" spans="1:11" x14ac:dyDescent="0.2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</row>
    <row r="854" spans="1:11" x14ac:dyDescent="0.2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</row>
    <row r="855" spans="1:11" x14ac:dyDescent="0.2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</row>
    <row r="856" spans="1:11" x14ac:dyDescent="0.2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</row>
    <row r="857" spans="1:11" x14ac:dyDescent="0.2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</row>
    <row r="858" spans="1:11" x14ac:dyDescent="0.2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</row>
    <row r="859" spans="1:11" x14ac:dyDescent="0.2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</row>
    <row r="860" spans="1:11" x14ac:dyDescent="0.2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</row>
    <row r="861" spans="1:11" x14ac:dyDescent="0.2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</row>
    <row r="862" spans="1:11" x14ac:dyDescent="0.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</row>
    <row r="863" spans="1:11" x14ac:dyDescent="0.2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</row>
    <row r="864" spans="1:11" x14ac:dyDescent="0.2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</row>
    <row r="865" spans="1:11" x14ac:dyDescent="0.2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</row>
    <row r="866" spans="1:11" x14ac:dyDescent="0.2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</row>
    <row r="867" spans="1:11" x14ac:dyDescent="0.2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</row>
    <row r="868" spans="1:11" x14ac:dyDescent="0.2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</row>
    <row r="869" spans="1:11" x14ac:dyDescent="0.2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</row>
    <row r="870" spans="1:11" x14ac:dyDescent="0.2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</row>
    <row r="871" spans="1:11" x14ac:dyDescent="0.2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</row>
    <row r="872" spans="1:11" x14ac:dyDescent="0.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</row>
    <row r="873" spans="1:11" x14ac:dyDescent="0.2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</row>
    <row r="874" spans="1:11" x14ac:dyDescent="0.2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</row>
    <row r="875" spans="1:11" x14ac:dyDescent="0.2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</row>
    <row r="876" spans="1:11" x14ac:dyDescent="0.2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</row>
    <row r="877" spans="1:11" x14ac:dyDescent="0.2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</row>
    <row r="878" spans="1:11" x14ac:dyDescent="0.2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</row>
    <row r="879" spans="1:11" x14ac:dyDescent="0.2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</row>
    <row r="880" spans="1:11" x14ac:dyDescent="0.2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</row>
    <row r="881" spans="1:11" x14ac:dyDescent="0.2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</row>
    <row r="882" spans="1:11" x14ac:dyDescent="0.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</row>
    <row r="883" spans="1:11" x14ac:dyDescent="0.2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</row>
    <row r="884" spans="1:11" x14ac:dyDescent="0.2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</row>
    <row r="885" spans="1:11" x14ac:dyDescent="0.2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</row>
  </sheetData>
  <mergeCells count="13">
    <mergeCell ref="B49:J49"/>
    <mergeCell ref="I1:J1"/>
    <mergeCell ref="A5:A6"/>
    <mergeCell ref="A4:J4"/>
    <mergeCell ref="E5:E6"/>
    <mergeCell ref="G5:J5"/>
    <mergeCell ref="B5:B6"/>
    <mergeCell ref="C5:C6"/>
    <mergeCell ref="D5:D6"/>
    <mergeCell ref="F5:F6"/>
    <mergeCell ref="A1:H1"/>
    <mergeCell ref="A2:J2"/>
    <mergeCell ref="A3:I3"/>
  </mergeCells>
  <phoneticPr fontId="9" type="noConversion"/>
  <pageMargins left="0.78740157480314965" right="0.39370078740157483" top="0.59055118110236227" bottom="0.51181102362204722" header="0.51181102362204722" footer="0.51181102362204722"/>
  <pageSetup paperSize="9" scale="80" orientation="portrait" r:id="rId1"/>
  <headerFooter alignWithMargins="0"/>
  <ignoredErrors>
    <ignoredError sqref="B46:E46 F49:F50 F10:F13 F18:F21 G17:J17 G51:G52 B8:B13 G40 H40:J40 B40:B41 D40:E40 B37 B51:E52 B50 D50:E50 B17:B29 D17:E17 D22:E22 B42 B43 B44 B45 C49:E49 B48 B47 G22:J22 G46 H46:J46 G49 H49:J52" numberStoredAsText="1"/>
    <ignoredError sqref="F8 F17 F40:F48 F51:F52 G50 F37 F22:F29" numberStoredAsText="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topLeftCell="A72" workbookViewId="0">
      <selection activeCell="A90" sqref="A90:R90"/>
    </sheetView>
  </sheetViews>
  <sheetFormatPr defaultRowHeight="9.75" x14ac:dyDescent="0.2"/>
  <cols>
    <col min="1" max="1" width="16.5703125" style="18" customWidth="1"/>
    <col min="2" max="2" width="11.7109375" style="18" customWidth="1"/>
    <col min="3" max="3" width="7.28515625" style="18" customWidth="1"/>
    <col min="4" max="6" width="4.42578125" style="18" customWidth="1"/>
    <col min="7" max="7" width="3.7109375" style="18" customWidth="1"/>
    <col min="8" max="8" width="4" style="18" customWidth="1"/>
    <col min="9" max="9" width="3.7109375" style="18" customWidth="1"/>
    <col min="10" max="13" width="2.85546875" style="18" customWidth="1"/>
    <col min="14" max="16" width="7" style="18" customWidth="1"/>
    <col min="17" max="17" width="6.7109375" style="18" customWidth="1"/>
    <col min="18" max="18" width="7" style="18" customWidth="1"/>
    <col min="19" max="16384" width="9.140625" style="18"/>
  </cols>
  <sheetData>
    <row r="1" spans="1:18" ht="12" x14ac:dyDescent="0.2">
      <c r="A1" s="483"/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R1" s="120" t="s">
        <v>69</v>
      </c>
    </row>
    <row r="2" spans="1:18" ht="7.5" customHeight="1" x14ac:dyDescent="0.2">
      <c r="A2" s="483"/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</row>
    <row r="3" spans="1:18" ht="12.75" x14ac:dyDescent="0.2">
      <c r="A3" s="484"/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99"/>
      <c r="R3" s="120" t="s">
        <v>128</v>
      </c>
    </row>
    <row r="4" spans="1:18" ht="12.75" x14ac:dyDescent="0.2">
      <c r="A4" s="489" t="s">
        <v>129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</row>
    <row r="5" spans="1:18" ht="12.75" x14ac:dyDescent="0.2">
      <c r="A5" s="489" t="s">
        <v>130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</row>
    <row r="6" spans="1:18" ht="12.75" x14ac:dyDescent="0.2">
      <c r="A6" s="490" t="str">
        <f>[1]фінплан!B19</f>
        <v>КП "Водоканал" Овруцької міської ради Житомирської області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</row>
    <row r="7" spans="1:18" ht="12.75" x14ac:dyDescent="0.2">
      <c r="A7" s="491" t="s">
        <v>131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</row>
    <row r="8" spans="1:18" ht="12.75" x14ac:dyDescent="0.2">
      <c r="A8" s="486" t="s">
        <v>132</v>
      </c>
      <c r="B8" s="487"/>
      <c r="C8" s="487"/>
      <c r="D8" s="487"/>
      <c r="E8" s="487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8"/>
    </row>
    <row r="9" spans="1:18" ht="12.75" x14ac:dyDescent="0.2">
      <c r="A9" s="492" t="s">
        <v>133</v>
      </c>
      <c r="B9" s="492"/>
      <c r="C9" s="492"/>
      <c r="D9" s="492"/>
      <c r="E9" s="492"/>
      <c r="F9" s="492"/>
      <c r="G9" s="485"/>
      <c r="H9" s="485"/>
      <c r="I9" s="485"/>
      <c r="J9" s="485"/>
      <c r="K9" s="485"/>
      <c r="L9" s="485"/>
      <c r="M9" s="485"/>
      <c r="N9" s="485"/>
      <c r="O9" s="485"/>
      <c r="P9" s="485"/>
      <c r="Q9" s="485"/>
      <c r="R9" s="485"/>
    </row>
    <row r="10" spans="1:18" ht="28.5" customHeight="1" x14ac:dyDescent="0.2">
      <c r="A10" s="467" t="s">
        <v>134</v>
      </c>
      <c r="B10" s="467"/>
      <c r="C10" s="467"/>
      <c r="D10" s="467"/>
      <c r="E10" s="494" t="s">
        <v>473</v>
      </c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</row>
    <row r="11" spans="1:18" ht="54.75" customHeight="1" x14ac:dyDescent="0.2">
      <c r="A11" s="473" t="s">
        <v>300</v>
      </c>
      <c r="B11" s="473"/>
      <c r="C11" s="473"/>
      <c r="D11" s="473"/>
      <c r="E11" s="473"/>
      <c r="F11" s="473"/>
      <c r="G11" s="473"/>
      <c r="H11" s="473"/>
      <c r="I11" s="473"/>
      <c r="J11" s="473"/>
      <c r="K11" s="473"/>
      <c r="L11" s="473"/>
      <c r="M11" s="473"/>
      <c r="N11" s="473"/>
      <c r="O11" s="473"/>
      <c r="P11" s="473"/>
      <c r="Q11" s="473"/>
      <c r="R11" s="473"/>
    </row>
    <row r="12" spans="1:18" ht="139.5" customHeight="1" x14ac:dyDescent="0.2">
      <c r="A12" s="495" t="s">
        <v>498</v>
      </c>
      <c r="B12" s="495"/>
      <c r="C12" s="495"/>
      <c r="D12" s="495"/>
      <c r="E12" s="495"/>
      <c r="F12" s="495"/>
      <c r="G12" s="495"/>
      <c r="H12" s="495"/>
      <c r="I12" s="495"/>
      <c r="J12" s="495"/>
      <c r="K12" s="495"/>
      <c r="L12" s="495"/>
      <c r="M12" s="495"/>
      <c r="N12" s="495"/>
      <c r="O12" s="495"/>
      <c r="P12" s="495"/>
      <c r="Q12" s="495"/>
      <c r="R12" s="495"/>
    </row>
    <row r="13" spans="1:18" ht="12.75" x14ac:dyDescent="0.2">
      <c r="A13" s="468" t="s">
        <v>135</v>
      </c>
      <c r="B13" s="468"/>
      <c r="C13" s="468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</row>
    <row r="14" spans="1:18" x14ac:dyDescent="0.2">
      <c r="A14" s="416" t="s">
        <v>136</v>
      </c>
      <c r="B14" s="416"/>
      <c r="C14" s="416"/>
      <c r="D14" s="416"/>
      <c r="E14" s="416"/>
      <c r="F14" s="416"/>
      <c r="G14" s="416"/>
      <c r="H14" s="416"/>
      <c r="I14" s="416"/>
      <c r="J14" s="416"/>
      <c r="K14" s="416" t="s">
        <v>137</v>
      </c>
      <c r="L14" s="416"/>
      <c r="M14" s="416"/>
      <c r="N14" s="416"/>
      <c r="O14" s="416"/>
      <c r="P14" s="416"/>
      <c r="Q14" s="416"/>
      <c r="R14" s="416"/>
    </row>
    <row r="15" spans="1:18" x14ac:dyDescent="0.2">
      <c r="A15" s="416"/>
      <c r="B15" s="416"/>
      <c r="C15" s="416"/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</row>
    <row r="16" spans="1:18" ht="12.75" x14ac:dyDescent="0.2">
      <c r="A16" s="423"/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</row>
    <row r="17" spans="1:28" ht="12.75" x14ac:dyDescent="0.2">
      <c r="A17" s="402"/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</row>
    <row r="18" spans="1:28" ht="12.75" x14ac:dyDescent="0.2">
      <c r="A18" s="468" t="s">
        <v>138</v>
      </c>
      <c r="B18" s="468"/>
      <c r="C18" s="468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</row>
    <row r="19" spans="1:28" ht="28.5" customHeight="1" x14ac:dyDescent="0.2">
      <c r="A19" s="416" t="s">
        <v>233</v>
      </c>
      <c r="B19" s="416"/>
      <c r="C19" s="416"/>
      <c r="D19" s="416"/>
      <c r="E19" s="416"/>
      <c r="F19" s="416" t="s">
        <v>139</v>
      </c>
      <c r="G19" s="416"/>
      <c r="H19" s="416"/>
      <c r="I19" s="416"/>
      <c r="J19" s="416"/>
      <c r="K19" s="416"/>
      <c r="L19" s="416"/>
      <c r="M19" s="416" t="s">
        <v>140</v>
      </c>
      <c r="N19" s="416"/>
      <c r="O19" s="416"/>
      <c r="P19" s="498" t="s">
        <v>141</v>
      </c>
      <c r="Q19" s="499"/>
      <c r="R19" s="500"/>
    </row>
    <row r="20" spans="1:28" ht="37.5" customHeight="1" x14ac:dyDescent="0.2">
      <c r="A20" s="416"/>
      <c r="B20" s="416"/>
      <c r="C20" s="416"/>
      <c r="D20" s="416"/>
      <c r="E20" s="416"/>
      <c r="F20" s="416" t="s">
        <v>142</v>
      </c>
      <c r="G20" s="416"/>
      <c r="H20" s="416"/>
      <c r="I20" s="416" t="s">
        <v>143</v>
      </c>
      <c r="J20" s="416"/>
      <c r="K20" s="416"/>
      <c r="L20" s="416"/>
      <c r="M20" s="416"/>
      <c r="N20" s="416"/>
      <c r="O20" s="416"/>
      <c r="P20" s="501"/>
      <c r="Q20" s="502"/>
      <c r="R20" s="503"/>
    </row>
    <row r="21" spans="1:28" ht="15.75" customHeight="1" x14ac:dyDescent="0.2">
      <c r="A21" s="509" t="s">
        <v>474</v>
      </c>
      <c r="B21" s="510"/>
      <c r="C21" s="510"/>
      <c r="D21" s="510"/>
      <c r="E21" s="511"/>
      <c r="F21" s="512">
        <f>M21/M24*100</f>
        <v>50.100860103422676</v>
      </c>
      <c r="G21" s="513"/>
      <c r="H21" s="514"/>
      <c r="I21" s="512">
        <f>P21/P24*100</f>
        <v>49.135885835190308</v>
      </c>
      <c r="J21" s="513"/>
      <c r="K21" s="513"/>
      <c r="L21" s="514"/>
      <c r="M21" s="403">
        <v>7624.9</v>
      </c>
      <c r="N21" s="404"/>
      <c r="O21" s="426"/>
      <c r="P21" s="403">
        <v>10914.8</v>
      </c>
      <c r="Q21" s="404"/>
      <c r="R21" s="426"/>
      <c r="X21" s="313"/>
      <c r="Y21" s="313"/>
      <c r="Z21" s="313"/>
      <c r="AA21" s="313"/>
      <c r="AB21" s="313"/>
    </row>
    <row r="22" spans="1:28" ht="14.25" customHeight="1" x14ac:dyDescent="0.2">
      <c r="A22" s="509" t="s">
        <v>479</v>
      </c>
      <c r="B22" s="510"/>
      <c r="C22" s="510"/>
      <c r="D22" s="510"/>
      <c r="E22" s="511"/>
      <c r="F22" s="512">
        <f>M22/M24*100</f>
        <v>16.594936625687456</v>
      </c>
      <c r="G22" s="513"/>
      <c r="H22" s="514"/>
      <c r="I22" s="512">
        <f>P22/P24*100+0.02</f>
        <v>17.536375177257074</v>
      </c>
      <c r="J22" s="513"/>
      <c r="K22" s="513"/>
      <c r="L22" s="514"/>
      <c r="M22" s="403">
        <v>2525.6</v>
      </c>
      <c r="N22" s="404"/>
      <c r="O22" s="426"/>
      <c r="P22" s="512">
        <v>3891</v>
      </c>
      <c r="Q22" s="513"/>
      <c r="R22" s="514"/>
      <c r="X22" s="313"/>
      <c r="Y22" s="313"/>
      <c r="Z22" s="313"/>
      <c r="AA22" s="313"/>
      <c r="AB22" s="313"/>
    </row>
    <row r="23" spans="1:28" ht="12.75" x14ac:dyDescent="0.2">
      <c r="A23" s="423" t="s">
        <v>475</v>
      </c>
      <c r="B23" s="423"/>
      <c r="C23" s="423"/>
      <c r="D23" s="423"/>
      <c r="E23" s="423"/>
      <c r="F23" s="504">
        <f>M23/M24*100</f>
        <v>33.304203270889872</v>
      </c>
      <c r="G23" s="504"/>
      <c r="H23" s="504"/>
      <c r="I23" s="504">
        <f>P23/P24*100</f>
        <v>33.34773898755261</v>
      </c>
      <c r="J23" s="504"/>
      <c r="K23" s="504"/>
      <c r="L23" s="504"/>
      <c r="M23" s="505">
        <v>5068.6000000000004</v>
      </c>
      <c r="N23" s="402"/>
      <c r="O23" s="506"/>
      <c r="P23" s="505">
        <v>7407.7</v>
      </c>
      <c r="Q23" s="402"/>
      <c r="R23" s="506"/>
      <c r="X23" s="507"/>
      <c r="Y23" s="507"/>
      <c r="Z23" s="507"/>
      <c r="AA23" s="507"/>
      <c r="AB23" s="507"/>
    </row>
    <row r="24" spans="1:28" ht="12.75" x14ac:dyDescent="0.2">
      <c r="A24" s="422" t="s">
        <v>144</v>
      </c>
      <c r="B24" s="422"/>
      <c r="C24" s="422"/>
      <c r="D24" s="422"/>
      <c r="E24" s="422"/>
      <c r="F24" s="422" t="s">
        <v>145</v>
      </c>
      <c r="G24" s="422"/>
      <c r="H24" s="422"/>
      <c r="I24" s="422" t="s">
        <v>145</v>
      </c>
      <c r="J24" s="422"/>
      <c r="K24" s="422"/>
      <c r="L24" s="422"/>
      <c r="M24" s="423">
        <f>M21+M22+M23</f>
        <v>15219.1</v>
      </c>
      <c r="N24" s="423"/>
      <c r="O24" s="423"/>
      <c r="P24" s="472">
        <f>P21+P22+P23</f>
        <v>22213.5</v>
      </c>
      <c r="Q24" s="423"/>
      <c r="R24" s="423"/>
      <c r="X24" s="507"/>
      <c r="Y24" s="507"/>
      <c r="Z24" s="507"/>
      <c r="AA24" s="507"/>
      <c r="AB24" s="507"/>
    </row>
    <row r="25" spans="1:28" ht="12.75" x14ac:dyDescent="0.2">
      <c r="A25" s="402"/>
      <c r="B25" s="402"/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X25" s="508"/>
      <c r="Y25" s="508"/>
      <c r="Z25" s="508"/>
      <c r="AA25" s="508"/>
      <c r="AB25" s="508"/>
    </row>
    <row r="26" spans="1:28" ht="12.75" x14ac:dyDescent="0.2">
      <c r="A26" s="468" t="s">
        <v>146</v>
      </c>
      <c r="B26" s="468"/>
      <c r="C26" s="468"/>
      <c r="D26" s="468"/>
      <c r="E26" s="468"/>
      <c r="F26" s="468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</row>
    <row r="27" spans="1:28" ht="43.5" customHeight="1" x14ac:dyDescent="0.2">
      <c r="A27" s="100" t="s">
        <v>147</v>
      </c>
      <c r="B27" s="416" t="s">
        <v>148</v>
      </c>
      <c r="C27" s="416"/>
      <c r="D27" s="416"/>
      <c r="E27" s="416" t="s">
        <v>217</v>
      </c>
      <c r="F27" s="416"/>
      <c r="G27" s="416"/>
      <c r="H27" s="416" t="s">
        <v>218</v>
      </c>
      <c r="I27" s="416"/>
      <c r="J27" s="416"/>
      <c r="K27" s="416"/>
      <c r="L27" s="416" t="s">
        <v>219</v>
      </c>
      <c r="M27" s="416"/>
      <c r="N27" s="416"/>
      <c r="O27" s="416" t="s">
        <v>149</v>
      </c>
      <c r="P27" s="416"/>
      <c r="Q27" s="416" t="s">
        <v>150</v>
      </c>
      <c r="R27" s="416"/>
    </row>
    <row r="28" spans="1:28" ht="12.75" x14ac:dyDescent="0.2">
      <c r="A28" s="101"/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3"/>
    </row>
    <row r="29" spans="1:28" ht="12.75" x14ac:dyDescent="0.2">
      <c r="A29" s="101" t="s">
        <v>151</v>
      </c>
      <c r="B29" s="422" t="s">
        <v>152</v>
      </c>
      <c r="C29" s="422"/>
      <c r="D29" s="422"/>
      <c r="E29" s="422"/>
      <c r="F29" s="422"/>
      <c r="G29" s="422"/>
      <c r="H29" s="422" t="s">
        <v>152</v>
      </c>
      <c r="I29" s="422"/>
      <c r="J29" s="422"/>
      <c r="K29" s="422"/>
      <c r="L29" s="422" t="s">
        <v>152</v>
      </c>
      <c r="M29" s="422"/>
      <c r="N29" s="422"/>
      <c r="O29" s="422"/>
      <c r="P29" s="422"/>
      <c r="Q29" s="422"/>
      <c r="R29" s="422"/>
    </row>
    <row r="30" spans="1:28" ht="13.5" thickBot="1" x14ac:dyDescent="0.25">
      <c r="A30" s="425"/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</row>
    <row r="31" spans="1:28" ht="16.5" customHeight="1" x14ac:dyDescent="0.2">
      <c r="A31" s="419" t="s">
        <v>301</v>
      </c>
      <c r="B31" s="420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1"/>
    </row>
    <row r="32" spans="1:28" ht="38.25" customHeight="1" x14ac:dyDescent="0.2">
      <c r="A32" s="415" t="s">
        <v>275</v>
      </c>
      <c r="B32" s="416"/>
      <c r="C32" s="403" t="s">
        <v>261</v>
      </c>
      <c r="D32" s="404"/>
      <c r="E32" s="404"/>
      <c r="F32" s="404"/>
      <c r="G32" s="404"/>
      <c r="H32" s="404"/>
      <c r="I32" s="404"/>
      <c r="J32" s="404"/>
      <c r="K32" s="426"/>
      <c r="L32" s="403" t="s">
        <v>262</v>
      </c>
      <c r="M32" s="404"/>
      <c r="N32" s="404"/>
      <c r="O32" s="404"/>
      <c r="P32" s="404"/>
      <c r="Q32" s="404"/>
      <c r="R32" s="405"/>
    </row>
    <row r="33" spans="1:18" ht="12.75" x14ac:dyDescent="0.2">
      <c r="A33" s="417" t="s">
        <v>263</v>
      </c>
      <c r="B33" s="418"/>
      <c r="C33" s="412">
        <v>0</v>
      </c>
      <c r="D33" s="413"/>
      <c r="E33" s="413"/>
      <c r="F33" s="413"/>
      <c r="G33" s="413"/>
      <c r="H33" s="413"/>
      <c r="I33" s="413"/>
      <c r="J33" s="413"/>
      <c r="K33" s="424"/>
      <c r="L33" s="412">
        <v>0</v>
      </c>
      <c r="M33" s="413"/>
      <c r="N33" s="413"/>
      <c r="O33" s="413"/>
      <c r="P33" s="413"/>
      <c r="Q33" s="413"/>
      <c r="R33" s="414"/>
    </row>
    <row r="34" spans="1:18" ht="12.75" x14ac:dyDescent="0.2">
      <c r="A34" s="417" t="s">
        <v>264</v>
      </c>
      <c r="B34" s="418"/>
      <c r="C34" s="412">
        <v>0</v>
      </c>
      <c r="D34" s="413"/>
      <c r="E34" s="413"/>
      <c r="F34" s="413"/>
      <c r="G34" s="413"/>
      <c r="H34" s="413"/>
      <c r="I34" s="413"/>
      <c r="J34" s="413"/>
      <c r="K34" s="424"/>
      <c r="L34" s="412">
        <v>0</v>
      </c>
      <c r="M34" s="413"/>
      <c r="N34" s="413"/>
      <c r="O34" s="413"/>
      <c r="P34" s="413"/>
      <c r="Q34" s="413"/>
      <c r="R34" s="414"/>
    </row>
    <row r="35" spans="1:18" ht="13.5" thickBot="1" x14ac:dyDescent="0.25">
      <c r="A35" s="434" t="s">
        <v>259</v>
      </c>
      <c r="B35" s="435"/>
      <c r="C35" s="409">
        <v>0</v>
      </c>
      <c r="D35" s="410"/>
      <c r="E35" s="410"/>
      <c r="F35" s="410"/>
      <c r="G35" s="410"/>
      <c r="H35" s="410"/>
      <c r="I35" s="410"/>
      <c r="J35" s="410"/>
      <c r="K35" s="441"/>
      <c r="L35" s="409">
        <v>0</v>
      </c>
      <c r="M35" s="410"/>
      <c r="N35" s="410"/>
      <c r="O35" s="410"/>
      <c r="P35" s="410"/>
      <c r="Q35" s="410"/>
      <c r="R35" s="411"/>
    </row>
    <row r="36" spans="1:18" ht="14.25" thickTop="1" thickBot="1" x14ac:dyDescent="0.25">
      <c r="A36" s="436" t="s">
        <v>260</v>
      </c>
      <c r="B36" s="437"/>
      <c r="C36" s="406">
        <f>SUM(C33:K35)</f>
        <v>0</v>
      </c>
      <c r="D36" s="407"/>
      <c r="E36" s="407"/>
      <c r="F36" s="407"/>
      <c r="G36" s="407"/>
      <c r="H36" s="407"/>
      <c r="I36" s="407"/>
      <c r="J36" s="407"/>
      <c r="K36" s="442"/>
      <c r="L36" s="406">
        <f>SUM(L33:R35)</f>
        <v>0</v>
      </c>
      <c r="M36" s="407"/>
      <c r="N36" s="407"/>
      <c r="O36" s="407"/>
      <c r="P36" s="407"/>
      <c r="Q36" s="407"/>
      <c r="R36" s="408"/>
    </row>
    <row r="37" spans="1:18" ht="12.75" x14ac:dyDescent="0.2">
      <c r="A37" s="440"/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0"/>
      <c r="R37" s="440"/>
    </row>
    <row r="38" spans="1:18" ht="12.75" customHeight="1" x14ac:dyDescent="0.2">
      <c r="A38" s="427" t="s">
        <v>153</v>
      </c>
      <c r="B38" s="428"/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9"/>
    </row>
    <row r="39" spans="1:18" ht="52.5" customHeight="1" x14ac:dyDescent="0.2">
      <c r="A39" s="403"/>
      <c r="B39" s="426"/>
      <c r="C39" s="100" t="s">
        <v>2</v>
      </c>
      <c r="D39" s="416" t="s">
        <v>292</v>
      </c>
      <c r="E39" s="416"/>
      <c r="F39" s="416"/>
      <c r="G39" s="416" t="s">
        <v>154</v>
      </c>
      <c r="H39" s="416"/>
      <c r="I39" s="416"/>
      <c r="J39" s="416" t="s">
        <v>53</v>
      </c>
      <c r="K39" s="416"/>
      <c r="L39" s="416"/>
      <c r="M39" s="416"/>
      <c r="N39" s="416" t="s">
        <v>155</v>
      </c>
      <c r="O39" s="416"/>
      <c r="P39" s="416"/>
      <c r="Q39" s="416"/>
      <c r="R39" s="416"/>
    </row>
    <row r="40" spans="1:18" ht="12.75" customHeight="1" x14ac:dyDescent="0.2">
      <c r="A40" s="430" t="s">
        <v>156</v>
      </c>
      <c r="B40" s="431"/>
      <c r="C40" s="102" t="s">
        <v>31</v>
      </c>
      <c r="D40" s="480"/>
      <c r="E40" s="480"/>
      <c r="F40" s="480"/>
      <c r="G40" s="480"/>
      <c r="H40" s="480"/>
      <c r="I40" s="480"/>
      <c r="J40" s="481"/>
      <c r="K40" s="481"/>
      <c r="L40" s="481"/>
      <c r="M40" s="481"/>
      <c r="N40" s="443"/>
      <c r="O40" s="443"/>
      <c r="P40" s="443"/>
      <c r="Q40" s="443"/>
      <c r="R40" s="443"/>
    </row>
    <row r="41" spans="1:18" ht="12.75" customHeight="1" x14ac:dyDescent="0.2">
      <c r="A41" s="430" t="s">
        <v>157</v>
      </c>
      <c r="B41" s="431"/>
      <c r="C41" s="102" t="s">
        <v>56</v>
      </c>
      <c r="D41" s="480"/>
      <c r="E41" s="480"/>
      <c r="F41" s="480"/>
      <c r="G41" s="480"/>
      <c r="H41" s="480"/>
      <c r="I41" s="480"/>
      <c r="J41" s="481"/>
      <c r="K41" s="481"/>
      <c r="L41" s="481"/>
      <c r="M41" s="481"/>
      <c r="N41" s="443"/>
      <c r="O41" s="443"/>
      <c r="P41" s="443"/>
      <c r="Q41" s="443"/>
      <c r="R41" s="443"/>
    </row>
    <row r="42" spans="1:18" ht="12.75" customHeight="1" x14ac:dyDescent="0.2">
      <c r="A42" s="438" t="s">
        <v>158</v>
      </c>
      <c r="B42" s="439"/>
      <c r="C42" s="102" t="s">
        <v>57</v>
      </c>
      <c r="D42" s="480"/>
      <c r="E42" s="480"/>
      <c r="F42" s="480"/>
      <c r="G42" s="480"/>
      <c r="H42" s="480"/>
      <c r="I42" s="480"/>
      <c r="J42" s="481"/>
      <c r="K42" s="481"/>
      <c r="L42" s="481"/>
      <c r="M42" s="481"/>
      <c r="N42" s="443"/>
      <c r="O42" s="443"/>
      <c r="P42" s="443"/>
      <c r="Q42" s="443"/>
      <c r="R42" s="443"/>
    </row>
    <row r="43" spans="1:18" ht="12.75" customHeight="1" x14ac:dyDescent="0.2">
      <c r="A43" s="430" t="s">
        <v>159</v>
      </c>
      <c r="B43" s="431"/>
      <c r="C43" s="102" t="s">
        <v>58</v>
      </c>
      <c r="D43" s="480"/>
      <c r="E43" s="480"/>
      <c r="F43" s="480"/>
      <c r="G43" s="480"/>
      <c r="H43" s="480"/>
      <c r="I43" s="480"/>
      <c r="J43" s="481"/>
      <c r="K43" s="481"/>
      <c r="L43" s="481"/>
      <c r="M43" s="481"/>
      <c r="N43" s="443"/>
      <c r="O43" s="443"/>
      <c r="P43" s="443"/>
      <c r="Q43" s="443"/>
      <c r="R43" s="443"/>
    </row>
    <row r="44" spans="1:18" ht="12.75" x14ac:dyDescent="0.2">
      <c r="A44" s="430" t="s">
        <v>160</v>
      </c>
      <c r="B44" s="431"/>
      <c r="C44" s="102" t="s">
        <v>59</v>
      </c>
      <c r="D44" s="480"/>
      <c r="E44" s="480"/>
      <c r="F44" s="480"/>
      <c r="G44" s="480"/>
      <c r="H44" s="480"/>
      <c r="I44" s="480"/>
      <c r="J44" s="481"/>
      <c r="K44" s="481"/>
      <c r="L44" s="481"/>
      <c r="M44" s="481"/>
      <c r="N44" s="443"/>
      <c r="O44" s="443"/>
      <c r="P44" s="443"/>
      <c r="Q44" s="443"/>
      <c r="R44" s="443"/>
    </row>
    <row r="45" spans="1:18" ht="36" customHeight="1" x14ac:dyDescent="0.2">
      <c r="A45" s="430" t="s">
        <v>161</v>
      </c>
      <c r="B45" s="431"/>
      <c r="C45" s="103" t="s">
        <v>39</v>
      </c>
      <c r="D45" s="444">
        <v>11006</v>
      </c>
      <c r="E45" s="444"/>
      <c r="F45" s="444"/>
      <c r="G45" s="444">
        <v>11726.1</v>
      </c>
      <c r="H45" s="444"/>
      <c r="I45" s="444"/>
      <c r="J45" s="444">
        <f>фінплан!C42</f>
        <v>17281.5</v>
      </c>
      <c r="K45" s="444"/>
      <c r="L45" s="444"/>
      <c r="M45" s="444"/>
      <c r="N45" s="443"/>
      <c r="O45" s="443"/>
      <c r="P45" s="443"/>
      <c r="Q45" s="443"/>
      <c r="R45" s="443"/>
    </row>
    <row r="46" spans="1:18" s="19" customFormat="1" ht="26.25" customHeight="1" x14ac:dyDescent="0.15">
      <c r="A46" s="432" t="s">
        <v>220</v>
      </c>
      <c r="B46" s="433"/>
      <c r="C46" s="104" t="s">
        <v>60</v>
      </c>
      <c r="D46" s="482">
        <f>SUM(D47:F63)</f>
        <v>1929.2</v>
      </c>
      <c r="E46" s="482"/>
      <c r="F46" s="482"/>
      <c r="G46" s="482">
        <f>SUM(G47:I63)</f>
        <v>2418.1</v>
      </c>
      <c r="H46" s="482"/>
      <c r="I46" s="482"/>
      <c r="J46" s="469">
        <f>SUM(J47:M63)</f>
        <v>2702.9999999999995</v>
      </c>
      <c r="K46" s="470"/>
      <c r="L46" s="470"/>
      <c r="M46" s="471"/>
      <c r="N46" s="477"/>
      <c r="O46" s="477"/>
      <c r="P46" s="477"/>
      <c r="Q46" s="477"/>
      <c r="R46" s="477"/>
    </row>
    <row r="47" spans="1:18" ht="12.75" customHeight="1" x14ac:dyDescent="0.2">
      <c r="A47" s="430" t="s">
        <v>162</v>
      </c>
      <c r="B47" s="431"/>
      <c r="C47" s="105" t="s">
        <v>163</v>
      </c>
      <c r="D47" s="444">
        <v>0.8</v>
      </c>
      <c r="E47" s="444"/>
      <c r="F47" s="444"/>
      <c r="G47" s="444">
        <v>0.6</v>
      </c>
      <c r="H47" s="444"/>
      <c r="I47" s="444"/>
      <c r="J47" s="444">
        <v>0.2</v>
      </c>
      <c r="K47" s="444"/>
      <c r="L47" s="444"/>
      <c r="M47" s="444"/>
      <c r="N47" s="443"/>
      <c r="O47" s="443"/>
      <c r="P47" s="443"/>
      <c r="Q47" s="443"/>
      <c r="R47" s="443"/>
    </row>
    <row r="48" spans="1:18" ht="12.75" x14ac:dyDescent="0.2">
      <c r="A48" s="430" t="s">
        <v>164</v>
      </c>
      <c r="B48" s="431"/>
      <c r="C48" s="105" t="s">
        <v>165</v>
      </c>
      <c r="D48" s="444">
        <v>2.4</v>
      </c>
      <c r="E48" s="444"/>
      <c r="F48" s="444"/>
      <c r="G48" s="444">
        <v>2.7</v>
      </c>
      <c r="H48" s="444"/>
      <c r="I48" s="444"/>
      <c r="J48" s="444">
        <v>2.6</v>
      </c>
      <c r="K48" s="444"/>
      <c r="L48" s="444"/>
      <c r="M48" s="444"/>
      <c r="N48" s="443"/>
      <c r="O48" s="443"/>
      <c r="P48" s="443"/>
      <c r="Q48" s="443"/>
      <c r="R48" s="443"/>
    </row>
    <row r="49" spans="1:18" ht="12.75" customHeight="1" x14ac:dyDescent="0.2">
      <c r="A49" s="430" t="s">
        <v>166</v>
      </c>
      <c r="B49" s="431"/>
      <c r="C49" s="105" t="s">
        <v>167</v>
      </c>
      <c r="D49" s="444">
        <v>1302.5999999999999</v>
      </c>
      <c r="E49" s="444"/>
      <c r="F49" s="444"/>
      <c r="G49" s="444">
        <v>1686</v>
      </c>
      <c r="H49" s="444"/>
      <c r="I49" s="444"/>
      <c r="J49" s="444">
        <v>1887.8</v>
      </c>
      <c r="K49" s="444"/>
      <c r="L49" s="444"/>
      <c r="M49" s="444"/>
      <c r="N49" s="443"/>
      <c r="O49" s="443"/>
      <c r="P49" s="443"/>
      <c r="Q49" s="443"/>
      <c r="R49" s="443"/>
    </row>
    <row r="50" spans="1:18" ht="12.75" customHeight="1" x14ac:dyDescent="0.2">
      <c r="A50" s="430" t="s">
        <v>168</v>
      </c>
      <c r="B50" s="431"/>
      <c r="C50" s="105" t="s">
        <v>169</v>
      </c>
      <c r="D50" s="444">
        <v>286.60000000000002</v>
      </c>
      <c r="E50" s="444"/>
      <c r="F50" s="444"/>
      <c r="G50" s="444">
        <v>370.9</v>
      </c>
      <c r="H50" s="444"/>
      <c r="I50" s="444"/>
      <c r="J50" s="444">
        <v>415.3</v>
      </c>
      <c r="K50" s="444"/>
      <c r="L50" s="444"/>
      <c r="M50" s="444"/>
      <c r="N50" s="443"/>
      <c r="O50" s="443"/>
      <c r="P50" s="443"/>
      <c r="Q50" s="443"/>
      <c r="R50" s="443"/>
    </row>
    <row r="51" spans="1:18" ht="51.75" customHeight="1" x14ac:dyDescent="0.2">
      <c r="A51" s="430" t="s">
        <v>170</v>
      </c>
      <c r="B51" s="431"/>
      <c r="C51" s="105" t="s">
        <v>171</v>
      </c>
      <c r="D51" s="444">
        <v>12.8</v>
      </c>
      <c r="E51" s="444"/>
      <c r="F51" s="444"/>
      <c r="G51" s="444">
        <v>12.9</v>
      </c>
      <c r="H51" s="444"/>
      <c r="I51" s="444"/>
      <c r="J51" s="444">
        <v>12.9</v>
      </c>
      <c r="K51" s="444"/>
      <c r="L51" s="444"/>
      <c r="M51" s="444"/>
      <c r="N51" s="443"/>
      <c r="O51" s="443"/>
      <c r="P51" s="443"/>
      <c r="Q51" s="443"/>
      <c r="R51" s="443"/>
    </row>
    <row r="52" spans="1:18" ht="51" customHeight="1" x14ac:dyDescent="0.2">
      <c r="A52" s="430" t="s">
        <v>172</v>
      </c>
      <c r="B52" s="431"/>
      <c r="C52" s="105" t="s">
        <v>173</v>
      </c>
      <c r="D52" s="444">
        <v>0</v>
      </c>
      <c r="E52" s="444"/>
      <c r="F52" s="444"/>
      <c r="G52" s="444">
        <v>0</v>
      </c>
      <c r="H52" s="444"/>
      <c r="I52" s="444"/>
      <c r="J52" s="444">
        <v>0</v>
      </c>
      <c r="K52" s="444"/>
      <c r="L52" s="444"/>
      <c r="M52" s="444"/>
      <c r="N52" s="443"/>
      <c r="O52" s="443"/>
      <c r="P52" s="443"/>
      <c r="Q52" s="443"/>
      <c r="R52" s="443"/>
    </row>
    <row r="53" spans="1:18" ht="12.75" customHeight="1" x14ac:dyDescent="0.2">
      <c r="A53" s="430" t="s">
        <v>174</v>
      </c>
      <c r="B53" s="431"/>
      <c r="C53" s="105" t="s">
        <v>175</v>
      </c>
      <c r="D53" s="444">
        <v>0.5</v>
      </c>
      <c r="E53" s="444"/>
      <c r="F53" s="444"/>
      <c r="G53" s="444">
        <v>0.6</v>
      </c>
      <c r="H53" s="444"/>
      <c r="I53" s="444"/>
      <c r="J53" s="444">
        <v>0.6</v>
      </c>
      <c r="K53" s="444"/>
      <c r="L53" s="444"/>
      <c r="M53" s="444"/>
      <c r="N53" s="443" t="s">
        <v>480</v>
      </c>
      <c r="O53" s="443"/>
      <c r="P53" s="443"/>
      <c r="Q53" s="443"/>
      <c r="R53" s="443"/>
    </row>
    <row r="54" spans="1:18" ht="25.5" customHeight="1" x14ac:dyDescent="0.2">
      <c r="A54" s="430" t="s">
        <v>176</v>
      </c>
      <c r="B54" s="431"/>
      <c r="C54" s="105" t="s">
        <v>177</v>
      </c>
      <c r="D54" s="444">
        <v>0</v>
      </c>
      <c r="E54" s="444"/>
      <c r="F54" s="444"/>
      <c r="G54" s="444"/>
      <c r="H54" s="444"/>
      <c r="I54" s="444"/>
      <c r="J54" s="444">
        <v>0</v>
      </c>
      <c r="K54" s="444"/>
      <c r="L54" s="444"/>
      <c r="M54" s="444"/>
      <c r="N54" s="443"/>
      <c r="O54" s="443"/>
      <c r="P54" s="443"/>
      <c r="Q54" s="443"/>
      <c r="R54" s="443"/>
    </row>
    <row r="55" spans="1:18" ht="12.75" customHeight="1" x14ac:dyDescent="0.2">
      <c r="A55" s="430" t="s">
        <v>178</v>
      </c>
      <c r="B55" s="431"/>
      <c r="C55" s="105" t="s">
        <v>179</v>
      </c>
      <c r="D55" s="444">
        <v>11.8</v>
      </c>
      <c r="E55" s="444"/>
      <c r="F55" s="444"/>
      <c r="G55" s="444">
        <v>13.1</v>
      </c>
      <c r="H55" s="444"/>
      <c r="I55" s="444"/>
      <c r="J55" s="444">
        <f>16.1+0.6</f>
        <v>16.700000000000003</v>
      </c>
      <c r="K55" s="444"/>
      <c r="L55" s="444"/>
      <c r="M55" s="444"/>
      <c r="N55" s="443" t="s">
        <v>481</v>
      </c>
      <c r="O55" s="443"/>
      <c r="P55" s="443"/>
      <c r="Q55" s="443"/>
      <c r="R55" s="443"/>
    </row>
    <row r="56" spans="1:18" ht="27" customHeight="1" x14ac:dyDescent="0.2">
      <c r="A56" s="445" t="s">
        <v>180</v>
      </c>
      <c r="B56" s="446"/>
      <c r="C56" s="105" t="s">
        <v>181</v>
      </c>
      <c r="D56" s="444">
        <v>11.5</v>
      </c>
      <c r="E56" s="444"/>
      <c r="F56" s="444"/>
      <c r="G56" s="444">
        <v>11.4</v>
      </c>
      <c r="H56" s="444"/>
      <c r="I56" s="444"/>
      <c r="J56" s="444">
        <v>3.2</v>
      </c>
      <c r="K56" s="444"/>
      <c r="L56" s="444"/>
      <c r="M56" s="444"/>
      <c r="N56" s="443" t="s">
        <v>482</v>
      </c>
      <c r="O56" s="443"/>
      <c r="P56" s="443"/>
      <c r="Q56" s="443"/>
      <c r="R56" s="443"/>
    </row>
    <row r="57" spans="1:18" ht="12.75" x14ac:dyDescent="0.2">
      <c r="A57" s="430" t="s">
        <v>182</v>
      </c>
      <c r="B57" s="431"/>
      <c r="C57" s="105" t="s">
        <v>183</v>
      </c>
      <c r="D57" s="444"/>
      <c r="E57" s="444"/>
      <c r="F57" s="444"/>
      <c r="G57" s="444"/>
      <c r="H57" s="444"/>
      <c r="I57" s="444"/>
      <c r="J57" s="444"/>
      <c r="K57" s="444"/>
      <c r="L57" s="444"/>
      <c r="M57" s="444"/>
      <c r="N57" s="443"/>
      <c r="O57" s="443"/>
      <c r="P57" s="443"/>
      <c r="Q57" s="443"/>
      <c r="R57" s="443"/>
    </row>
    <row r="58" spans="1:18" ht="12.75" customHeight="1" x14ac:dyDescent="0.2">
      <c r="A58" s="430" t="s">
        <v>184</v>
      </c>
      <c r="B58" s="431"/>
      <c r="C58" s="105" t="s">
        <v>185</v>
      </c>
      <c r="D58" s="444"/>
      <c r="E58" s="444"/>
      <c r="F58" s="444"/>
      <c r="G58" s="444"/>
      <c r="H58" s="444"/>
      <c r="I58" s="444"/>
      <c r="J58" s="444"/>
      <c r="K58" s="444"/>
      <c r="L58" s="444"/>
      <c r="M58" s="444"/>
      <c r="N58" s="443"/>
      <c r="O58" s="443"/>
      <c r="P58" s="443"/>
      <c r="Q58" s="443"/>
      <c r="R58" s="443"/>
    </row>
    <row r="59" spans="1:18" ht="25.5" customHeight="1" x14ac:dyDescent="0.2">
      <c r="A59" s="430" t="s">
        <v>186</v>
      </c>
      <c r="B59" s="431"/>
      <c r="C59" s="105" t="s">
        <v>187</v>
      </c>
      <c r="D59" s="444"/>
      <c r="E59" s="444"/>
      <c r="F59" s="444"/>
      <c r="G59" s="444"/>
      <c r="H59" s="444"/>
      <c r="I59" s="444"/>
      <c r="J59" s="444"/>
      <c r="K59" s="444"/>
      <c r="L59" s="444"/>
      <c r="M59" s="444"/>
      <c r="N59" s="443"/>
      <c r="O59" s="443"/>
      <c r="P59" s="443"/>
      <c r="Q59" s="443"/>
      <c r="R59" s="443"/>
    </row>
    <row r="60" spans="1:18" ht="25.5" customHeight="1" x14ac:dyDescent="0.2">
      <c r="A60" s="430" t="s">
        <v>188</v>
      </c>
      <c r="B60" s="431"/>
      <c r="C60" s="105" t="s">
        <v>189</v>
      </c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3"/>
      <c r="O60" s="443"/>
      <c r="P60" s="443"/>
      <c r="Q60" s="443"/>
      <c r="R60" s="443"/>
    </row>
    <row r="61" spans="1:18" ht="51" customHeight="1" x14ac:dyDescent="0.2">
      <c r="A61" s="465" t="s">
        <v>190</v>
      </c>
      <c r="B61" s="466"/>
      <c r="C61" s="106" t="s">
        <v>191</v>
      </c>
      <c r="D61" s="479"/>
      <c r="E61" s="479"/>
      <c r="F61" s="479"/>
      <c r="G61" s="479"/>
      <c r="H61" s="479"/>
      <c r="I61" s="479"/>
      <c r="J61" s="479"/>
      <c r="K61" s="479"/>
      <c r="L61" s="479"/>
      <c r="M61" s="479"/>
      <c r="N61" s="478"/>
      <c r="O61" s="478"/>
      <c r="P61" s="478"/>
      <c r="Q61" s="478"/>
      <c r="R61" s="478"/>
    </row>
    <row r="62" spans="1:18" ht="23.25" customHeight="1" x14ac:dyDescent="0.2">
      <c r="A62" s="445" t="s">
        <v>192</v>
      </c>
      <c r="B62" s="446"/>
      <c r="C62" s="105" t="s">
        <v>193</v>
      </c>
      <c r="D62" s="444">
        <v>2.7</v>
      </c>
      <c r="E62" s="444"/>
      <c r="F62" s="444"/>
      <c r="G62" s="444">
        <v>5</v>
      </c>
      <c r="H62" s="444"/>
      <c r="I62" s="444"/>
      <c r="J62" s="444">
        <v>6</v>
      </c>
      <c r="K62" s="444"/>
      <c r="L62" s="444"/>
      <c r="M62" s="444"/>
      <c r="N62" s="443" t="s">
        <v>483</v>
      </c>
      <c r="O62" s="443"/>
      <c r="P62" s="443"/>
      <c r="Q62" s="443"/>
      <c r="R62" s="443"/>
    </row>
    <row r="63" spans="1:18" ht="39.75" customHeight="1" x14ac:dyDescent="0.2">
      <c r="A63" s="430" t="s">
        <v>194</v>
      </c>
      <c r="B63" s="431"/>
      <c r="C63" s="105" t="s">
        <v>195</v>
      </c>
      <c r="D63" s="444">
        <v>297.5</v>
      </c>
      <c r="E63" s="444"/>
      <c r="F63" s="444"/>
      <c r="G63" s="444">
        <v>314.89999999999998</v>
      </c>
      <c r="H63" s="444"/>
      <c r="I63" s="444"/>
      <c r="J63" s="444">
        <v>357.7</v>
      </c>
      <c r="K63" s="444"/>
      <c r="L63" s="444"/>
      <c r="M63" s="444"/>
      <c r="N63" s="443" t="s">
        <v>484</v>
      </c>
      <c r="O63" s="443"/>
      <c r="P63" s="443"/>
      <c r="Q63" s="443"/>
      <c r="R63" s="443"/>
    </row>
    <row r="64" spans="1:18" s="19" customFormat="1" ht="27" customHeight="1" x14ac:dyDescent="0.15">
      <c r="A64" s="432" t="s">
        <v>239</v>
      </c>
      <c r="B64" s="433"/>
      <c r="C64" s="104">
        <v>13</v>
      </c>
      <c r="D64" s="469">
        <f>SUM(D65:F72)</f>
        <v>857.8</v>
      </c>
      <c r="E64" s="470"/>
      <c r="F64" s="471"/>
      <c r="G64" s="469">
        <f>SUM(G65:I72)</f>
        <v>1079.7</v>
      </c>
      <c r="H64" s="470"/>
      <c r="I64" s="471"/>
      <c r="J64" s="469">
        <f>SUM(J65:M72)</f>
        <v>1209.3000000000002</v>
      </c>
      <c r="K64" s="470"/>
      <c r="L64" s="470"/>
      <c r="M64" s="471"/>
      <c r="N64" s="477"/>
      <c r="O64" s="477"/>
      <c r="P64" s="477"/>
      <c r="Q64" s="477"/>
      <c r="R64" s="477"/>
    </row>
    <row r="65" spans="1:18" s="19" customFormat="1" ht="14.25" customHeight="1" x14ac:dyDescent="0.15">
      <c r="A65" s="448" t="s">
        <v>166</v>
      </c>
      <c r="B65" s="449"/>
      <c r="C65" s="104"/>
      <c r="D65" s="459">
        <v>594.79999999999995</v>
      </c>
      <c r="E65" s="460"/>
      <c r="F65" s="461"/>
      <c r="G65" s="459">
        <v>790.5</v>
      </c>
      <c r="H65" s="460"/>
      <c r="I65" s="461"/>
      <c r="J65" s="459">
        <v>882.5</v>
      </c>
      <c r="K65" s="460"/>
      <c r="L65" s="460"/>
      <c r="M65" s="461"/>
      <c r="N65" s="462"/>
      <c r="O65" s="463"/>
      <c r="P65" s="463"/>
      <c r="Q65" s="463"/>
      <c r="R65" s="464"/>
    </row>
    <row r="66" spans="1:18" s="19" customFormat="1" ht="15" customHeight="1" x14ac:dyDescent="0.15">
      <c r="A66" s="448" t="s">
        <v>168</v>
      </c>
      <c r="B66" s="449"/>
      <c r="C66" s="104"/>
      <c r="D66" s="459">
        <v>124.4</v>
      </c>
      <c r="E66" s="460"/>
      <c r="F66" s="461"/>
      <c r="G66" s="459">
        <v>163.69999999999999</v>
      </c>
      <c r="H66" s="460"/>
      <c r="I66" s="461"/>
      <c r="J66" s="459">
        <v>187.5</v>
      </c>
      <c r="K66" s="460"/>
      <c r="L66" s="460"/>
      <c r="M66" s="461"/>
      <c r="N66" s="462"/>
      <c r="O66" s="463"/>
      <c r="P66" s="463"/>
      <c r="Q66" s="463"/>
      <c r="R66" s="464"/>
    </row>
    <row r="67" spans="1:18" s="19" customFormat="1" ht="13.5" customHeight="1" x14ac:dyDescent="0.15">
      <c r="A67" s="457" t="s">
        <v>485</v>
      </c>
      <c r="B67" s="458"/>
      <c r="C67" s="104"/>
      <c r="D67" s="459">
        <v>48.6</v>
      </c>
      <c r="E67" s="460"/>
      <c r="F67" s="461"/>
      <c r="G67" s="459">
        <v>55.4</v>
      </c>
      <c r="H67" s="460"/>
      <c r="I67" s="461"/>
      <c r="J67" s="459">
        <v>66.2</v>
      </c>
      <c r="K67" s="460"/>
      <c r="L67" s="460"/>
      <c r="M67" s="461"/>
      <c r="N67" s="462"/>
      <c r="O67" s="463"/>
      <c r="P67" s="463"/>
      <c r="Q67" s="463"/>
      <c r="R67" s="464"/>
    </row>
    <row r="68" spans="1:18" s="19" customFormat="1" ht="14.25" customHeight="1" x14ac:dyDescent="0.15">
      <c r="A68" s="457" t="s">
        <v>486</v>
      </c>
      <c r="B68" s="458"/>
      <c r="C68" s="104"/>
      <c r="D68" s="459">
        <v>26.2</v>
      </c>
      <c r="E68" s="460"/>
      <c r="F68" s="461"/>
      <c r="G68" s="459">
        <v>6.9</v>
      </c>
      <c r="H68" s="460"/>
      <c r="I68" s="461"/>
      <c r="J68" s="459">
        <v>9.8000000000000007</v>
      </c>
      <c r="K68" s="460"/>
      <c r="L68" s="460"/>
      <c r="M68" s="461"/>
      <c r="N68" s="462"/>
      <c r="O68" s="463"/>
      <c r="P68" s="463"/>
      <c r="Q68" s="463"/>
      <c r="R68" s="464"/>
    </row>
    <row r="69" spans="1:18" s="19" customFormat="1" ht="12.75" customHeight="1" x14ac:dyDescent="0.15">
      <c r="A69" s="448" t="s">
        <v>164</v>
      </c>
      <c r="B69" s="449"/>
      <c r="C69" s="104"/>
      <c r="D69" s="459">
        <v>0.8</v>
      </c>
      <c r="E69" s="460"/>
      <c r="F69" s="461"/>
      <c r="G69" s="459">
        <v>0.8</v>
      </c>
      <c r="H69" s="460"/>
      <c r="I69" s="461"/>
      <c r="J69" s="459">
        <v>0.7</v>
      </c>
      <c r="K69" s="460"/>
      <c r="L69" s="460"/>
      <c r="M69" s="461"/>
      <c r="N69" s="462"/>
      <c r="O69" s="463"/>
      <c r="P69" s="463"/>
      <c r="Q69" s="463"/>
      <c r="R69" s="464"/>
    </row>
    <row r="70" spans="1:18" s="19" customFormat="1" ht="15" customHeight="1" x14ac:dyDescent="0.15">
      <c r="A70" s="448" t="s">
        <v>487</v>
      </c>
      <c r="B70" s="449"/>
      <c r="C70" s="104"/>
      <c r="D70" s="459">
        <v>56</v>
      </c>
      <c r="E70" s="460"/>
      <c r="F70" s="461"/>
      <c r="G70" s="459">
        <v>56</v>
      </c>
      <c r="H70" s="460"/>
      <c r="I70" s="461"/>
      <c r="J70" s="459">
        <v>56.2</v>
      </c>
      <c r="K70" s="460"/>
      <c r="L70" s="460"/>
      <c r="M70" s="461"/>
      <c r="N70" s="462"/>
      <c r="O70" s="463"/>
      <c r="P70" s="463"/>
      <c r="Q70" s="463"/>
      <c r="R70" s="464"/>
    </row>
    <row r="71" spans="1:18" s="19" customFormat="1" ht="14.25" customHeight="1" x14ac:dyDescent="0.15">
      <c r="A71" s="448" t="s">
        <v>488</v>
      </c>
      <c r="B71" s="449"/>
      <c r="C71" s="104"/>
      <c r="D71" s="459">
        <v>3.8</v>
      </c>
      <c r="E71" s="460"/>
      <c r="F71" s="461"/>
      <c r="G71" s="459">
        <v>3.2</v>
      </c>
      <c r="H71" s="460"/>
      <c r="I71" s="461"/>
      <c r="J71" s="459">
        <v>3.2</v>
      </c>
      <c r="K71" s="460"/>
      <c r="L71" s="460"/>
      <c r="M71" s="461"/>
      <c r="N71" s="462"/>
      <c r="O71" s="463"/>
      <c r="P71" s="463"/>
      <c r="Q71" s="463"/>
      <c r="R71" s="464"/>
    </row>
    <row r="72" spans="1:18" s="19" customFormat="1" ht="15" customHeight="1" x14ac:dyDescent="0.15">
      <c r="A72" s="457" t="s">
        <v>489</v>
      </c>
      <c r="B72" s="458"/>
      <c r="C72" s="104"/>
      <c r="D72" s="459">
        <v>3.2</v>
      </c>
      <c r="E72" s="460"/>
      <c r="F72" s="461"/>
      <c r="G72" s="459">
        <v>3.2</v>
      </c>
      <c r="H72" s="460"/>
      <c r="I72" s="461"/>
      <c r="J72" s="459">
        <v>3.2</v>
      </c>
      <c r="K72" s="460"/>
      <c r="L72" s="460"/>
      <c r="M72" s="461"/>
      <c r="N72" s="462"/>
      <c r="O72" s="463"/>
      <c r="P72" s="463"/>
      <c r="Q72" s="463"/>
      <c r="R72" s="464"/>
    </row>
    <row r="73" spans="1:18" s="19" customFormat="1" ht="25.5" customHeight="1" x14ac:dyDescent="0.15">
      <c r="A73" s="450" t="s">
        <v>221</v>
      </c>
      <c r="B73" s="451"/>
      <c r="C73" s="104">
        <v>14</v>
      </c>
      <c r="D73" s="474">
        <f>D74+D75</f>
        <v>766.4</v>
      </c>
      <c r="E73" s="474"/>
      <c r="F73" s="474"/>
      <c r="G73" s="474">
        <f>G74+G75</f>
        <v>445.29999999999995</v>
      </c>
      <c r="H73" s="474"/>
      <c r="I73" s="474"/>
      <c r="J73" s="474">
        <f>J74+J75</f>
        <v>506.6</v>
      </c>
      <c r="K73" s="474"/>
      <c r="L73" s="474"/>
      <c r="M73" s="474"/>
      <c r="N73" s="456"/>
      <c r="O73" s="456"/>
      <c r="P73" s="456"/>
      <c r="Q73" s="456"/>
      <c r="R73" s="456"/>
    </row>
    <row r="74" spans="1:18" ht="24.75" customHeight="1" x14ac:dyDescent="0.2">
      <c r="A74" s="448" t="s">
        <v>196</v>
      </c>
      <c r="B74" s="449"/>
      <c r="C74" s="105" t="s">
        <v>197</v>
      </c>
      <c r="D74" s="452">
        <v>138.6</v>
      </c>
      <c r="E74" s="452"/>
      <c r="F74" s="452"/>
      <c r="G74" s="452"/>
      <c r="H74" s="452"/>
      <c r="I74" s="452"/>
      <c r="J74" s="452"/>
      <c r="K74" s="452"/>
      <c r="L74" s="452"/>
      <c r="M74" s="452"/>
      <c r="N74" s="447"/>
      <c r="O74" s="447"/>
      <c r="P74" s="447"/>
      <c r="Q74" s="447"/>
      <c r="R74" s="447"/>
    </row>
    <row r="75" spans="1:18" ht="24.75" customHeight="1" x14ac:dyDescent="0.2">
      <c r="A75" s="448" t="s">
        <v>490</v>
      </c>
      <c r="B75" s="449"/>
      <c r="C75" s="105" t="s">
        <v>198</v>
      </c>
      <c r="D75" s="452">
        <f>SUM(D76:F80)</f>
        <v>627.79999999999995</v>
      </c>
      <c r="E75" s="452"/>
      <c r="F75" s="452"/>
      <c r="G75" s="452">
        <f>SUM(G76:I80)</f>
        <v>445.29999999999995</v>
      </c>
      <c r="H75" s="452"/>
      <c r="I75" s="452"/>
      <c r="J75" s="452">
        <f>SUM(J76:M80)</f>
        <v>506.6</v>
      </c>
      <c r="K75" s="452"/>
      <c r="L75" s="452"/>
      <c r="M75" s="452"/>
      <c r="N75" s="447"/>
      <c r="O75" s="447"/>
      <c r="P75" s="447"/>
      <c r="Q75" s="447"/>
      <c r="R75" s="447"/>
    </row>
    <row r="76" spans="1:18" ht="15.75" customHeight="1" x14ac:dyDescent="0.2">
      <c r="A76" s="475" t="s">
        <v>340</v>
      </c>
      <c r="B76" s="476"/>
      <c r="C76" s="105"/>
      <c r="D76" s="453">
        <v>9.6999999999999993</v>
      </c>
      <c r="E76" s="454"/>
      <c r="F76" s="455"/>
      <c r="G76" s="453">
        <v>38.4</v>
      </c>
      <c r="H76" s="454"/>
      <c r="I76" s="455"/>
      <c r="J76" s="453">
        <f>фінплан!C69</f>
        <v>67</v>
      </c>
      <c r="K76" s="454"/>
      <c r="L76" s="454"/>
      <c r="M76" s="455"/>
      <c r="N76" s="515"/>
      <c r="O76" s="516"/>
      <c r="P76" s="516"/>
      <c r="Q76" s="516"/>
      <c r="R76" s="517"/>
    </row>
    <row r="77" spans="1:18" ht="12" customHeight="1" x14ac:dyDescent="0.2">
      <c r="A77" s="475" t="s">
        <v>166</v>
      </c>
      <c r="B77" s="476"/>
      <c r="C77" s="105"/>
      <c r="D77" s="453">
        <v>468.3</v>
      </c>
      <c r="E77" s="454"/>
      <c r="F77" s="455"/>
      <c r="G77" s="453">
        <v>245.2</v>
      </c>
      <c r="H77" s="454"/>
      <c r="I77" s="455"/>
      <c r="J77" s="453">
        <f>фінплан!C70</f>
        <v>340</v>
      </c>
      <c r="K77" s="454"/>
      <c r="L77" s="454"/>
      <c r="M77" s="455"/>
      <c r="N77" s="515"/>
      <c r="O77" s="516"/>
      <c r="P77" s="516"/>
      <c r="Q77" s="516"/>
      <c r="R77" s="517"/>
    </row>
    <row r="78" spans="1:18" ht="13.5" customHeight="1" x14ac:dyDescent="0.2">
      <c r="A78" s="475" t="s">
        <v>168</v>
      </c>
      <c r="B78" s="476"/>
      <c r="C78" s="105"/>
      <c r="D78" s="453">
        <v>115.9</v>
      </c>
      <c r="E78" s="454"/>
      <c r="F78" s="455"/>
      <c r="G78" s="453">
        <v>115.5</v>
      </c>
      <c r="H78" s="454"/>
      <c r="I78" s="455"/>
      <c r="J78" s="453">
        <f>фінплан!C71</f>
        <v>96.8</v>
      </c>
      <c r="K78" s="454"/>
      <c r="L78" s="454"/>
      <c r="M78" s="455"/>
      <c r="N78" s="515"/>
      <c r="O78" s="516"/>
      <c r="P78" s="516"/>
      <c r="Q78" s="516"/>
      <c r="R78" s="517"/>
    </row>
    <row r="79" spans="1:18" ht="14.25" customHeight="1" x14ac:dyDescent="0.2">
      <c r="A79" s="475" t="s">
        <v>307</v>
      </c>
      <c r="B79" s="476"/>
      <c r="C79" s="105"/>
      <c r="D79" s="453">
        <v>0.1</v>
      </c>
      <c r="E79" s="454"/>
      <c r="F79" s="455"/>
      <c r="G79" s="453">
        <v>0</v>
      </c>
      <c r="H79" s="454"/>
      <c r="I79" s="455"/>
      <c r="J79" s="453">
        <f>фінплан!C72</f>
        <v>0</v>
      </c>
      <c r="K79" s="454"/>
      <c r="L79" s="454"/>
      <c r="M79" s="455"/>
      <c r="N79" s="515"/>
      <c r="O79" s="516"/>
      <c r="P79" s="516"/>
      <c r="Q79" s="516"/>
      <c r="R79" s="517"/>
    </row>
    <row r="80" spans="1:18" ht="14.25" customHeight="1" x14ac:dyDescent="0.2">
      <c r="A80" s="475" t="s">
        <v>308</v>
      </c>
      <c r="B80" s="476"/>
      <c r="C80" s="105"/>
      <c r="D80" s="453">
        <v>33.799999999999997</v>
      </c>
      <c r="E80" s="454"/>
      <c r="F80" s="455"/>
      <c r="G80" s="453">
        <v>46.2</v>
      </c>
      <c r="H80" s="454"/>
      <c r="I80" s="455"/>
      <c r="J80" s="453">
        <f>фінплан!C73</f>
        <v>2.8</v>
      </c>
      <c r="K80" s="454"/>
      <c r="L80" s="454"/>
      <c r="M80" s="455"/>
      <c r="N80" s="515"/>
      <c r="O80" s="516"/>
      <c r="P80" s="516"/>
      <c r="Q80" s="516"/>
      <c r="R80" s="517"/>
    </row>
    <row r="81" spans="1:18" ht="12.75" x14ac:dyDescent="0.2">
      <c r="A81" s="448" t="s">
        <v>199</v>
      </c>
      <c r="B81" s="449"/>
      <c r="C81" s="105">
        <v>15</v>
      </c>
      <c r="D81" s="452"/>
      <c r="E81" s="452"/>
      <c r="F81" s="452"/>
      <c r="G81" s="452"/>
      <c r="H81" s="452"/>
      <c r="I81" s="452"/>
      <c r="J81" s="452"/>
      <c r="K81" s="452"/>
      <c r="L81" s="452"/>
      <c r="M81" s="452"/>
      <c r="N81" s="447"/>
      <c r="O81" s="447"/>
      <c r="P81" s="447"/>
      <c r="Q81" s="447"/>
      <c r="R81" s="447"/>
    </row>
    <row r="82" spans="1:18" ht="12.75" customHeight="1" x14ac:dyDescent="0.2">
      <c r="A82" s="448" t="s">
        <v>200</v>
      </c>
      <c r="B82" s="449"/>
      <c r="C82" s="105">
        <v>16</v>
      </c>
      <c r="D82" s="452"/>
      <c r="E82" s="452"/>
      <c r="F82" s="452"/>
      <c r="G82" s="452"/>
      <c r="H82" s="452"/>
      <c r="I82" s="452"/>
      <c r="J82" s="452"/>
      <c r="K82" s="452"/>
      <c r="L82" s="452"/>
      <c r="M82" s="452"/>
      <c r="N82" s="447"/>
      <c r="O82" s="447"/>
      <c r="P82" s="447"/>
      <c r="Q82" s="447"/>
      <c r="R82" s="447"/>
    </row>
    <row r="83" spans="1:18" ht="12.75" x14ac:dyDescent="0.2">
      <c r="A83" s="448" t="s">
        <v>201</v>
      </c>
      <c r="B83" s="449"/>
      <c r="C83" s="105">
        <v>17</v>
      </c>
      <c r="D83" s="452"/>
      <c r="E83" s="452"/>
      <c r="F83" s="452"/>
      <c r="G83" s="452"/>
      <c r="H83" s="452"/>
      <c r="I83" s="452"/>
      <c r="J83" s="452"/>
      <c r="K83" s="452"/>
      <c r="L83" s="452"/>
      <c r="M83" s="452"/>
      <c r="N83" s="447"/>
      <c r="O83" s="447"/>
      <c r="P83" s="447"/>
      <c r="Q83" s="447"/>
      <c r="R83" s="447"/>
    </row>
    <row r="84" spans="1:18" ht="12.75" x14ac:dyDescent="0.2">
      <c r="A84" s="448" t="s">
        <v>202</v>
      </c>
      <c r="B84" s="449"/>
      <c r="C84" s="105">
        <v>31</v>
      </c>
      <c r="D84" s="452"/>
      <c r="E84" s="452"/>
      <c r="F84" s="452"/>
      <c r="G84" s="452"/>
      <c r="H84" s="452"/>
      <c r="I84" s="452"/>
      <c r="J84" s="452"/>
      <c r="K84" s="452"/>
      <c r="L84" s="452"/>
      <c r="M84" s="452"/>
      <c r="N84" s="447"/>
      <c r="O84" s="447"/>
      <c r="P84" s="447"/>
      <c r="Q84" s="447"/>
      <c r="R84" s="447"/>
    </row>
    <row r="85" spans="1:18" ht="12.75" x14ac:dyDescent="0.2">
      <c r="A85" s="448" t="s">
        <v>203</v>
      </c>
      <c r="B85" s="449"/>
      <c r="C85" s="105" t="s">
        <v>67</v>
      </c>
      <c r="D85" s="452"/>
      <c r="E85" s="452"/>
      <c r="F85" s="452"/>
      <c r="G85" s="452"/>
      <c r="H85" s="452"/>
      <c r="I85" s="452"/>
      <c r="J85" s="452"/>
      <c r="K85" s="452"/>
      <c r="L85" s="452"/>
      <c r="M85" s="452"/>
      <c r="N85" s="447"/>
      <c r="O85" s="447"/>
      <c r="P85" s="447"/>
      <c r="Q85" s="447"/>
      <c r="R85" s="447"/>
    </row>
    <row r="86" spans="1:18" ht="12.75" x14ac:dyDescent="0.2">
      <c r="A86" s="448" t="s">
        <v>204</v>
      </c>
      <c r="B86" s="449"/>
      <c r="C86" s="105" t="s">
        <v>68</v>
      </c>
      <c r="D86" s="452"/>
      <c r="E86" s="452"/>
      <c r="F86" s="452"/>
      <c r="G86" s="452"/>
      <c r="H86" s="452"/>
      <c r="I86" s="452"/>
      <c r="J86" s="452"/>
      <c r="K86" s="452"/>
      <c r="L86" s="452"/>
      <c r="M86" s="452"/>
      <c r="N86" s="447"/>
      <c r="O86" s="447"/>
      <c r="P86" s="447"/>
      <c r="Q86" s="447"/>
      <c r="R86" s="447"/>
    </row>
    <row r="87" spans="1:18" ht="25.5" customHeight="1" x14ac:dyDescent="0.2">
      <c r="A87" s="448" t="s">
        <v>205</v>
      </c>
      <c r="B87" s="449"/>
      <c r="C87" s="105"/>
      <c r="D87" s="444"/>
      <c r="E87" s="444"/>
      <c r="F87" s="444"/>
      <c r="G87" s="444"/>
      <c r="H87" s="444"/>
      <c r="I87" s="444"/>
      <c r="J87" s="444"/>
      <c r="K87" s="444"/>
      <c r="L87" s="444"/>
      <c r="M87" s="444"/>
      <c r="N87" s="443"/>
      <c r="O87" s="443"/>
      <c r="P87" s="443"/>
      <c r="Q87" s="443"/>
      <c r="R87" s="443"/>
    </row>
    <row r="88" spans="1:18" s="21" customFormat="1" x14ac:dyDescent="0.2">
      <c r="A88" s="496"/>
      <c r="B88" s="496"/>
      <c r="C88" s="496"/>
      <c r="D88" s="496"/>
      <c r="E88" s="496"/>
      <c r="F88" s="496"/>
      <c r="G88" s="496"/>
      <c r="H88" s="496"/>
      <c r="I88" s="496"/>
      <c r="J88" s="496"/>
      <c r="K88" s="496"/>
      <c r="L88" s="496"/>
      <c r="M88" s="496"/>
      <c r="N88" s="496"/>
      <c r="O88" s="496"/>
      <c r="P88" s="496"/>
      <c r="Q88" s="496"/>
      <c r="R88" s="496"/>
    </row>
    <row r="89" spans="1:18" s="21" customFormat="1" x14ac:dyDescent="0.2">
      <c r="A89" s="497"/>
      <c r="B89" s="497"/>
      <c r="C89" s="497"/>
      <c r="D89" s="497"/>
      <c r="E89" s="497"/>
      <c r="F89" s="497"/>
      <c r="G89" s="497"/>
      <c r="H89" s="497"/>
      <c r="I89" s="497"/>
      <c r="J89" s="497"/>
      <c r="K89" s="497"/>
      <c r="L89" s="497"/>
      <c r="M89" s="497"/>
      <c r="N89" s="497"/>
      <c r="O89" s="497"/>
      <c r="P89" s="497"/>
      <c r="Q89" s="497"/>
      <c r="R89" s="497"/>
    </row>
    <row r="90" spans="1:18" s="21" customFormat="1" ht="15.75" x14ac:dyDescent="0.25">
      <c r="A90" s="493" t="s">
        <v>491</v>
      </c>
      <c r="B90" s="493"/>
      <c r="C90" s="493"/>
      <c r="D90" s="493"/>
      <c r="E90" s="493"/>
      <c r="F90" s="493"/>
      <c r="G90" s="493"/>
      <c r="H90" s="493"/>
      <c r="I90" s="493"/>
      <c r="J90" s="493"/>
      <c r="K90" s="493"/>
      <c r="L90" s="493"/>
      <c r="M90" s="493"/>
      <c r="N90" s="493"/>
      <c r="O90" s="493"/>
      <c r="P90" s="493"/>
      <c r="Q90" s="493"/>
      <c r="R90" s="493"/>
    </row>
    <row r="91" spans="1:18" s="21" customFormat="1" x14ac:dyDescent="0.2"/>
    <row r="92" spans="1:18" s="21" customFormat="1" x14ac:dyDescent="0.2"/>
    <row r="93" spans="1:18" s="21" customFormat="1" x14ac:dyDescent="0.2"/>
    <row r="94" spans="1:18" s="21" customFormat="1" x14ac:dyDescent="0.2"/>
    <row r="95" spans="1:18" s="21" customFormat="1" x14ac:dyDescent="0.2"/>
    <row r="96" spans="1:18" s="21" customFormat="1" x14ac:dyDescent="0.2"/>
  </sheetData>
  <mergeCells count="337">
    <mergeCell ref="J79:M79"/>
    <mergeCell ref="J80:M80"/>
    <mergeCell ref="N77:R77"/>
    <mergeCell ref="N78:R78"/>
    <mergeCell ref="N79:R79"/>
    <mergeCell ref="N80:R80"/>
    <mergeCell ref="D79:F79"/>
    <mergeCell ref="D80:F80"/>
    <mergeCell ref="G77:I77"/>
    <mergeCell ref="G78:I78"/>
    <mergeCell ref="G79:I79"/>
    <mergeCell ref="G80:I80"/>
    <mergeCell ref="J76:M76"/>
    <mergeCell ref="N76:R76"/>
    <mergeCell ref="D77:F77"/>
    <mergeCell ref="D78:F78"/>
    <mergeCell ref="J77:M77"/>
    <mergeCell ref="J78:M78"/>
    <mergeCell ref="N66:R66"/>
    <mergeCell ref="N67:R67"/>
    <mergeCell ref="N68:R68"/>
    <mergeCell ref="N69:R69"/>
    <mergeCell ref="N70:R70"/>
    <mergeCell ref="N71:R71"/>
    <mergeCell ref="J71:M71"/>
    <mergeCell ref="J70:M70"/>
    <mergeCell ref="J69:M69"/>
    <mergeCell ref="J68:M68"/>
    <mergeCell ref="J67:M67"/>
    <mergeCell ref="J66:M66"/>
    <mergeCell ref="G66:I66"/>
    <mergeCell ref="G67:I67"/>
    <mergeCell ref="G68:I68"/>
    <mergeCell ref="G69:I69"/>
    <mergeCell ref="G70:I70"/>
    <mergeCell ref="N40:R40"/>
    <mergeCell ref="N41:R41"/>
    <mergeCell ref="D40:F40"/>
    <mergeCell ref="G40:I40"/>
    <mergeCell ref="G71:I71"/>
    <mergeCell ref="A71:B71"/>
    <mergeCell ref="D66:F66"/>
    <mergeCell ref="D67:F67"/>
    <mergeCell ref="D68:F68"/>
    <mergeCell ref="D69:F69"/>
    <mergeCell ref="D70:F70"/>
    <mergeCell ref="D71:F71"/>
    <mergeCell ref="J40:M40"/>
    <mergeCell ref="D41:F41"/>
    <mergeCell ref="G41:I41"/>
    <mergeCell ref="J41:M41"/>
    <mergeCell ref="N42:R42"/>
    <mergeCell ref="N43:R43"/>
    <mergeCell ref="D42:F42"/>
    <mergeCell ref="G42:I42"/>
    <mergeCell ref="J42:M42"/>
    <mergeCell ref="D43:F43"/>
    <mergeCell ref="G43:I43"/>
    <mergeCell ref="J43:M43"/>
    <mergeCell ref="X23:AB23"/>
    <mergeCell ref="X24:AB24"/>
    <mergeCell ref="X25:AB25"/>
    <mergeCell ref="A21:E21"/>
    <mergeCell ref="A22:E22"/>
    <mergeCell ref="F21:H21"/>
    <mergeCell ref="F22:H22"/>
    <mergeCell ref="I21:L21"/>
    <mergeCell ref="I22:L22"/>
    <mergeCell ref="M21:O21"/>
    <mergeCell ref="P23:R23"/>
    <mergeCell ref="I24:L24"/>
    <mergeCell ref="M24:O24"/>
    <mergeCell ref="P21:R21"/>
    <mergeCell ref="P22:R22"/>
    <mergeCell ref="M22:O22"/>
    <mergeCell ref="A90:R90"/>
    <mergeCell ref="E10:R10"/>
    <mergeCell ref="A12:R12"/>
    <mergeCell ref="A88:R88"/>
    <mergeCell ref="A89:R89"/>
    <mergeCell ref="A13:R13"/>
    <mergeCell ref="A14:J15"/>
    <mergeCell ref="K14:R15"/>
    <mergeCell ref="A16:J16"/>
    <mergeCell ref="K16:R16"/>
    <mergeCell ref="A18:R18"/>
    <mergeCell ref="F19:L19"/>
    <mergeCell ref="M19:O20"/>
    <mergeCell ref="P19:R20"/>
    <mergeCell ref="F20:H20"/>
    <mergeCell ref="I20:L20"/>
    <mergeCell ref="A19:E20"/>
    <mergeCell ref="F23:H23"/>
    <mergeCell ref="I23:L23"/>
    <mergeCell ref="M23:O23"/>
    <mergeCell ref="A24:E24"/>
    <mergeCell ref="F24:H24"/>
    <mergeCell ref="Q28:R28"/>
    <mergeCell ref="L27:N27"/>
    <mergeCell ref="A1:O1"/>
    <mergeCell ref="A2:R2"/>
    <mergeCell ref="A3:P3"/>
    <mergeCell ref="G9:R9"/>
    <mergeCell ref="A8:R8"/>
    <mergeCell ref="A4:R4"/>
    <mergeCell ref="A5:R5"/>
    <mergeCell ref="A6:R6"/>
    <mergeCell ref="A7:R7"/>
    <mergeCell ref="A9:F9"/>
    <mergeCell ref="G48:I48"/>
    <mergeCell ref="J48:M48"/>
    <mergeCell ref="N49:R49"/>
    <mergeCell ref="G44:I44"/>
    <mergeCell ref="J44:M44"/>
    <mergeCell ref="D45:F45"/>
    <mergeCell ref="G45:I45"/>
    <mergeCell ref="J45:M45"/>
    <mergeCell ref="G46:I46"/>
    <mergeCell ref="J46:M46"/>
    <mergeCell ref="N46:R46"/>
    <mergeCell ref="D46:F46"/>
    <mergeCell ref="N44:R44"/>
    <mergeCell ref="N45:R45"/>
    <mergeCell ref="D44:F44"/>
    <mergeCell ref="N50:R50"/>
    <mergeCell ref="D49:F49"/>
    <mergeCell ref="G49:I49"/>
    <mergeCell ref="J49:M49"/>
    <mergeCell ref="D50:F50"/>
    <mergeCell ref="G50:I50"/>
    <mergeCell ref="J50:M50"/>
    <mergeCell ref="N51:R51"/>
    <mergeCell ref="N52:R52"/>
    <mergeCell ref="D51:F51"/>
    <mergeCell ref="G51:I51"/>
    <mergeCell ref="J51:M51"/>
    <mergeCell ref="D52:F52"/>
    <mergeCell ref="G52:I52"/>
    <mergeCell ref="J52:M52"/>
    <mergeCell ref="N53:R53"/>
    <mergeCell ref="N54:R54"/>
    <mergeCell ref="D53:F53"/>
    <mergeCell ref="G53:I53"/>
    <mergeCell ref="J53:M53"/>
    <mergeCell ref="D54:F54"/>
    <mergeCell ref="G54:I54"/>
    <mergeCell ref="J54:M54"/>
    <mergeCell ref="N55:R55"/>
    <mergeCell ref="N56:R56"/>
    <mergeCell ref="D55:F55"/>
    <mergeCell ref="G55:I55"/>
    <mergeCell ref="J55:M55"/>
    <mergeCell ref="D56:F56"/>
    <mergeCell ref="G56:I56"/>
    <mergeCell ref="J56:M56"/>
    <mergeCell ref="N57:R57"/>
    <mergeCell ref="N58:R58"/>
    <mergeCell ref="D57:F57"/>
    <mergeCell ref="G57:I57"/>
    <mergeCell ref="J57:M57"/>
    <mergeCell ref="D58:F58"/>
    <mergeCell ref="G58:I58"/>
    <mergeCell ref="J58:M58"/>
    <mergeCell ref="G60:I60"/>
    <mergeCell ref="J60:M60"/>
    <mergeCell ref="J64:M64"/>
    <mergeCell ref="N64:R64"/>
    <mergeCell ref="N61:R61"/>
    <mergeCell ref="N62:R62"/>
    <mergeCell ref="D61:F61"/>
    <mergeCell ref="G61:I61"/>
    <mergeCell ref="J61:M61"/>
    <mergeCell ref="D62:F62"/>
    <mergeCell ref="G62:I62"/>
    <mergeCell ref="J62:M62"/>
    <mergeCell ref="D64:F64"/>
    <mergeCell ref="A87:B87"/>
    <mergeCell ref="D86:F86"/>
    <mergeCell ref="D87:F87"/>
    <mergeCell ref="D83:F83"/>
    <mergeCell ref="D84:F84"/>
    <mergeCell ref="D85:F85"/>
    <mergeCell ref="N74:R74"/>
    <mergeCell ref="G81:I81"/>
    <mergeCell ref="D73:F73"/>
    <mergeCell ref="D74:F74"/>
    <mergeCell ref="G85:I85"/>
    <mergeCell ref="A86:B86"/>
    <mergeCell ref="J86:M86"/>
    <mergeCell ref="G86:I86"/>
    <mergeCell ref="N86:R86"/>
    <mergeCell ref="G87:I87"/>
    <mergeCell ref="J82:M82"/>
    <mergeCell ref="J83:M83"/>
    <mergeCell ref="J84:M84"/>
    <mergeCell ref="N87:R87"/>
    <mergeCell ref="J87:M87"/>
    <mergeCell ref="D81:F81"/>
    <mergeCell ref="N75:R75"/>
    <mergeCell ref="N81:R81"/>
    <mergeCell ref="A85:B85"/>
    <mergeCell ref="A84:B84"/>
    <mergeCell ref="A83:B83"/>
    <mergeCell ref="P24:R24"/>
    <mergeCell ref="A23:E23"/>
    <mergeCell ref="A11:R11"/>
    <mergeCell ref="D82:F82"/>
    <mergeCell ref="G73:I73"/>
    <mergeCell ref="G74:I74"/>
    <mergeCell ref="G75:I75"/>
    <mergeCell ref="J85:M85"/>
    <mergeCell ref="G82:I82"/>
    <mergeCell ref="G83:I83"/>
    <mergeCell ref="G84:I84"/>
    <mergeCell ref="N85:R85"/>
    <mergeCell ref="J73:M73"/>
    <mergeCell ref="J74:M74"/>
    <mergeCell ref="J75:M75"/>
    <mergeCell ref="J81:M81"/>
    <mergeCell ref="A76:B76"/>
    <mergeCell ref="A77:B77"/>
    <mergeCell ref="A78:B78"/>
    <mergeCell ref="A79:B79"/>
    <mergeCell ref="A80:B80"/>
    <mergeCell ref="A61:B61"/>
    <mergeCell ref="A60:B60"/>
    <mergeCell ref="A66:B66"/>
    <mergeCell ref="A67:B67"/>
    <mergeCell ref="A68:B68"/>
    <mergeCell ref="A59:B59"/>
    <mergeCell ref="A10:D10"/>
    <mergeCell ref="B27:D27"/>
    <mergeCell ref="E27:G27"/>
    <mergeCell ref="A26:R26"/>
    <mergeCell ref="G65:I65"/>
    <mergeCell ref="J65:M65"/>
    <mergeCell ref="N65:R65"/>
    <mergeCell ref="N63:R63"/>
    <mergeCell ref="D63:F63"/>
    <mergeCell ref="G63:I63"/>
    <mergeCell ref="J63:M63"/>
    <mergeCell ref="G64:I64"/>
    <mergeCell ref="N59:R59"/>
    <mergeCell ref="N60:R60"/>
    <mergeCell ref="D59:F59"/>
    <mergeCell ref="G59:I59"/>
    <mergeCell ref="J59:M59"/>
    <mergeCell ref="D60:F60"/>
    <mergeCell ref="N82:R82"/>
    <mergeCell ref="N83:R83"/>
    <mergeCell ref="N84:R84"/>
    <mergeCell ref="A82:B82"/>
    <mergeCell ref="A75:B75"/>
    <mergeCell ref="A74:B74"/>
    <mergeCell ref="A73:B73"/>
    <mergeCell ref="A63:B63"/>
    <mergeCell ref="A62:B62"/>
    <mergeCell ref="A81:B81"/>
    <mergeCell ref="A64:B64"/>
    <mergeCell ref="A69:B69"/>
    <mergeCell ref="A70:B70"/>
    <mergeCell ref="D75:F75"/>
    <mergeCell ref="D76:F76"/>
    <mergeCell ref="N73:R73"/>
    <mergeCell ref="A72:B72"/>
    <mergeCell ref="D72:F72"/>
    <mergeCell ref="G72:I72"/>
    <mergeCell ref="J72:M72"/>
    <mergeCell ref="N72:R72"/>
    <mergeCell ref="A65:B65"/>
    <mergeCell ref="D65:F65"/>
    <mergeCell ref="G76:I76"/>
    <mergeCell ref="A58:B58"/>
    <mergeCell ref="A57:B57"/>
    <mergeCell ref="A56:B56"/>
    <mergeCell ref="A55:B55"/>
    <mergeCell ref="A54:B54"/>
    <mergeCell ref="A53:B53"/>
    <mergeCell ref="A52:B52"/>
    <mergeCell ref="A51:B51"/>
    <mergeCell ref="A50:B50"/>
    <mergeCell ref="A49:B49"/>
    <mergeCell ref="A48:B48"/>
    <mergeCell ref="A47:B47"/>
    <mergeCell ref="A46:B46"/>
    <mergeCell ref="A45:B45"/>
    <mergeCell ref="A44:B44"/>
    <mergeCell ref="A34:B34"/>
    <mergeCell ref="A35:B35"/>
    <mergeCell ref="A36:B36"/>
    <mergeCell ref="A43:B43"/>
    <mergeCell ref="A42:B42"/>
    <mergeCell ref="A41:B41"/>
    <mergeCell ref="A40:B40"/>
    <mergeCell ref="A39:B39"/>
    <mergeCell ref="A37:R37"/>
    <mergeCell ref="C34:K34"/>
    <mergeCell ref="C35:K35"/>
    <mergeCell ref="C36:K36"/>
    <mergeCell ref="N47:R47"/>
    <mergeCell ref="N48:R48"/>
    <mergeCell ref="D47:F47"/>
    <mergeCell ref="G47:I47"/>
    <mergeCell ref="J47:M47"/>
    <mergeCell ref="D48:F48"/>
    <mergeCell ref="D39:F39"/>
    <mergeCell ref="A25:R25"/>
    <mergeCell ref="B28:D28"/>
    <mergeCell ref="G39:I39"/>
    <mergeCell ref="J39:M39"/>
    <mergeCell ref="B29:D29"/>
    <mergeCell ref="E29:G29"/>
    <mergeCell ref="H28:K28"/>
    <mergeCell ref="L28:N28"/>
    <mergeCell ref="C33:K33"/>
    <mergeCell ref="H27:K27"/>
    <mergeCell ref="O27:P27"/>
    <mergeCell ref="Q27:R27"/>
    <mergeCell ref="E28:G28"/>
    <mergeCell ref="O28:P28"/>
    <mergeCell ref="A30:R30"/>
    <mergeCell ref="C32:K32"/>
    <mergeCell ref="N39:R39"/>
    <mergeCell ref="O29:P29"/>
    <mergeCell ref="Q29:R29"/>
    <mergeCell ref="H29:K29"/>
    <mergeCell ref="A38:R38"/>
    <mergeCell ref="A17:R17"/>
    <mergeCell ref="L32:R32"/>
    <mergeCell ref="L36:R36"/>
    <mergeCell ref="L35:R35"/>
    <mergeCell ref="L34:R34"/>
    <mergeCell ref="L33:R33"/>
    <mergeCell ref="A32:B32"/>
    <mergeCell ref="A33:B33"/>
    <mergeCell ref="A31:R31"/>
    <mergeCell ref="L29:N29"/>
  </mergeCells>
  <phoneticPr fontId="9" type="noConversion"/>
  <pageMargins left="0.59055118110236227" right="0.27559055118110237" top="0.51" bottom="0.39370078740157483" header="0.51181102362204722" footer="0.51181102362204722"/>
  <pageSetup paperSize="9" scale="48" fitToHeight="0" orientation="portrait" r:id="rId1"/>
  <headerFooter alignWithMargins="0"/>
  <ignoredErrors>
    <ignoredError sqref="C81:C87 C40:C64 C73:C7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opLeftCell="A27" zoomScale="75" zoomScaleNormal="85" workbookViewId="0">
      <selection sqref="A1:S53"/>
    </sheetView>
  </sheetViews>
  <sheetFormatPr defaultRowHeight="12.75" x14ac:dyDescent="0.2"/>
  <cols>
    <col min="1" max="1" width="4.5703125" customWidth="1"/>
    <col min="2" max="2" width="22.42578125" customWidth="1"/>
    <col min="3" max="4" width="10.7109375" customWidth="1"/>
    <col min="5" max="7" width="11.7109375" customWidth="1"/>
    <col min="8" max="8" width="12.7109375" customWidth="1"/>
    <col min="9" max="9" width="11.7109375" customWidth="1"/>
    <col min="10" max="10" width="12.85546875" customWidth="1"/>
    <col min="11" max="11" width="10.7109375" customWidth="1"/>
    <col min="12" max="12" width="13.28515625" customWidth="1"/>
    <col min="13" max="14" width="11.7109375" customWidth="1"/>
  </cols>
  <sheetData>
    <row r="1" spans="1:14" ht="15" x14ac:dyDescent="0.2">
      <c r="A1" s="532">
        <v>8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</row>
    <row r="2" spans="1:14" ht="15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5.75" thickBot="1" x14ac:dyDescent="0.2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 t="s">
        <v>423</v>
      </c>
      <c r="M3" s="151"/>
      <c r="N3" s="151"/>
    </row>
    <row r="4" spans="1:14" ht="19.5" customHeight="1" thickBot="1" x14ac:dyDescent="0.25">
      <c r="A4" s="555" t="s">
        <v>298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7"/>
    </row>
    <row r="5" spans="1:14" ht="15" customHeight="1" x14ac:dyDescent="0.2">
      <c r="A5" s="535" t="s">
        <v>206</v>
      </c>
      <c r="B5" s="537" t="s">
        <v>207</v>
      </c>
      <c r="C5" s="538"/>
      <c r="D5" s="541" t="s">
        <v>208</v>
      </c>
      <c r="E5" s="549" t="s">
        <v>209</v>
      </c>
      <c r="F5" s="550"/>
      <c r="G5" s="550"/>
      <c r="H5" s="551"/>
      <c r="I5" s="541" t="s">
        <v>265</v>
      </c>
      <c r="J5" s="546" t="s">
        <v>266</v>
      </c>
      <c r="K5" s="547"/>
      <c r="L5" s="547"/>
      <c r="M5" s="547"/>
      <c r="N5" s="548"/>
    </row>
    <row r="6" spans="1:14" ht="43.5" customHeight="1" thickBot="1" x14ac:dyDescent="0.25">
      <c r="A6" s="536"/>
      <c r="B6" s="539"/>
      <c r="C6" s="540"/>
      <c r="D6" s="542"/>
      <c r="E6" s="552"/>
      <c r="F6" s="553"/>
      <c r="G6" s="553"/>
      <c r="H6" s="554"/>
      <c r="I6" s="542"/>
      <c r="J6" s="153" t="s">
        <v>267</v>
      </c>
      <c r="K6" s="153" t="s">
        <v>268</v>
      </c>
      <c r="L6" s="153" t="s">
        <v>8</v>
      </c>
      <c r="M6" s="153" t="s">
        <v>269</v>
      </c>
      <c r="N6" s="154" t="s">
        <v>201</v>
      </c>
    </row>
    <row r="7" spans="1:14" ht="12" customHeight="1" thickBot="1" x14ac:dyDescent="0.25">
      <c r="A7" s="155">
        <v>1</v>
      </c>
      <c r="B7" s="533">
        <v>2</v>
      </c>
      <c r="C7" s="534"/>
      <c r="D7" s="156">
        <v>3</v>
      </c>
      <c r="E7" s="543">
        <v>4</v>
      </c>
      <c r="F7" s="544"/>
      <c r="G7" s="544"/>
      <c r="H7" s="545"/>
      <c r="I7" s="156">
        <v>5</v>
      </c>
      <c r="J7" s="156">
        <v>6</v>
      </c>
      <c r="K7" s="156">
        <v>7</v>
      </c>
      <c r="L7" s="156">
        <v>8</v>
      </c>
      <c r="M7" s="156">
        <v>9</v>
      </c>
      <c r="N7" s="157">
        <v>10</v>
      </c>
    </row>
    <row r="8" spans="1:14" ht="26.25" thickTop="1" x14ac:dyDescent="0.2">
      <c r="A8" s="158" t="s">
        <v>270</v>
      </c>
      <c r="B8" s="558" t="s">
        <v>476</v>
      </c>
      <c r="C8" s="559"/>
      <c r="D8" s="314" t="s">
        <v>478</v>
      </c>
      <c r="E8" s="572" t="s">
        <v>477</v>
      </c>
      <c r="F8" s="573"/>
      <c r="G8" s="573"/>
      <c r="H8" s="574"/>
      <c r="I8" s="159">
        <f>SUM(J8:N8)</f>
        <v>171.57</v>
      </c>
      <c r="J8" s="315">
        <v>37.5</v>
      </c>
      <c r="K8" s="315">
        <v>108.5</v>
      </c>
      <c r="L8" s="315">
        <f>K8*0.22</f>
        <v>23.87</v>
      </c>
      <c r="M8" s="315">
        <v>1.1000000000000001</v>
      </c>
      <c r="N8" s="316">
        <v>0.6</v>
      </c>
    </row>
    <row r="9" spans="1:14" x14ac:dyDescent="0.2">
      <c r="A9" s="160" t="s">
        <v>271</v>
      </c>
      <c r="B9" s="575"/>
      <c r="C9" s="576"/>
      <c r="D9" s="105"/>
      <c r="E9" s="561"/>
      <c r="F9" s="562"/>
      <c r="G9" s="562"/>
      <c r="H9" s="563"/>
      <c r="I9" s="159">
        <f>SUM(J9:N9)</f>
        <v>0</v>
      </c>
      <c r="J9" s="161"/>
      <c r="K9" s="161"/>
      <c r="L9" s="161"/>
      <c r="M9" s="161"/>
      <c r="N9" s="162"/>
    </row>
    <row r="10" spans="1:14" x14ac:dyDescent="0.2">
      <c r="A10" s="160" t="s">
        <v>272</v>
      </c>
      <c r="B10" s="575"/>
      <c r="C10" s="576"/>
      <c r="D10" s="105"/>
      <c r="E10" s="561"/>
      <c r="F10" s="562"/>
      <c r="G10" s="562"/>
      <c r="H10" s="563"/>
      <c r="I10" s="159">
        <f>SUM(J10:N10)</f>
        <v>0</v>
      </c>
      <c r="J10" s="161"/>
      <c r="K10" s="161"/>
      <c r="L10" s="161"/>
      <c r="M10" s="161"/>
      <c r="N10" s="162"/>
    </row>
    <row r="11" spans="1:14" ht="13.5" thickBot="1" x14ac:dyDescent="0.25">
      <c r="A11" s="163"/>
      <c r="B11" s="564"/>
      <c r="C11" s="565"/>
      <c r="D11" s="164"/>
      <c r="E11" s="520"/>
      <c r="F11" s="521"/>
      <c r="G11" s="521"/>
      <c r="H11" s="522"/>
      <c r="I11" s="165"/>
      <c r="J11" s="166"/>
      <c r="K11" s="166"/>
      <c r="L11" s="166"/>
      <c r="M11" s="166"/>
      <c r="N11" s="167"/>
    </row>
    <row r="12" spans="1:14" ht="5.25" customHeight="1" thickTop="1" x14ac:dyDescent="0.2">
      <c r="A12" s="523"/>
      <c r="B12" s="524"/>
      <c r="C12" s="524"/>
      <c r="D12" s="524"/>
      <c r="E12" s="524"/>
      <c r="F12" s="524"/>
      <c r="G12" s="524"/>
      <c r="H12" s="524"/>
      <c r="I12" s="524"/>
      <c r="J12" s="524"/>
      <c r="K12" s="524"/>
      <c r="L12" s="524"/>
      <c r="M12" s="524"/>
      <c r="N12" s="525"/>
    </row>
    <row r="13" spans="1:14" ht="16.5" customHeight="1" thickBot="1" x14ac:dyDescent="0.25">
      <c r="A13" s="566" t="s">
        <v>260</v>
      </c>
      <c r="B13" s="567"/>
      <c r="C13" s="567"/>
      <c r="D13" s="567"/>
      <c r="E13" s="567"/>
      <c r="F13" s="567"/>
      <c r="G13" s="567"/>
      <c r="H13" s="568"/>
      <c r="I13" s="168">
        <f>SUM(J13:N13)</f>
        <v>171.57</v>
      </c>
      <c r="J13" s="169">
        <f>SUM(J8:J10)</f>
        <v>37.5</v>
      </c>
      <c r="K13" s="169">
        <f>SUM(K8:K10)</f>
        <v>108.5</v>
      </c>
      <c r="L13" s="169">
        <f>SUM(L8:L10)</f>
        <v>23.87</v>
      </c>
      <c r="M13" s="169">
        <f>SUM(M8:M10)</f>
        <v>1.1000000000000001</v>
      </c>
      <c r="N13" s="170">
        <f>SUM(N8:N10)</f>
        <v>0.6</v>
      </c>
    </row>
    <row r="14" spans="1:14" ht="16.5" customHeight="1" x14ac:dyDescent="0.2">
      <c r="A14" s="240"/>
      <c r="B14" s="240"/>
      <c r="C14" s="240"/>
      <c r="D14" s="240"/>
      <c r="E14" s="240"/>
      <c r="F14" s="240"/>
      <c r="G14" s="240"/>
      <c r="H14" s="240"/>
      <c r="I14" s="241"/>
      <c r="J14" s="242"/>
      <c r="K14" s="242"/>
      <c r="L14" s="242"/>
      <c r="M14" s="242"/>
      <c r="N14" s="242"/>
    </row>
    <row r="15" spans="1:14" ht="16.5" customHeight="1" x14ac:dyDescent="0.2">
      <c r="A15" s="240"/>
      <c r="B15" s="240"/>
      <c r="C15" s="240"/>
      <c r="D15" s="240"/>
      <c r="E15" s="240"/>
      <c r="F15" s="240"/>
      <c r="G15" s="240"/>
      <c r="H15" s="240"/>
      <c r="I15" s="241"/>
      <c r="J15" s="242"/>
      <c r="K15" s="242"/>
      <c r="L15" s="242"/>
      <c r="M15" s="242"/>
      <c r="N15" s="242"/>
    </row>
    <row r="16" spans="1:14" ht="15" x14ac:dyDescent="0.2">
      <c r="A16" s="171"/>
      <c r="B16" s="171"/>
      <c r="C16" s="171"/>
      <c r="D16" s="171"/>
      <c r="E16" s="171"/>
      <c r="F16" s="171"/>
      <c r="G16" s="171"/>
      <c r="H16" s="151"/>
      <c r="I16" s="151"/>
      <c r="J16" s="151"/>
      <c r="K16" s="151"/>
      <c r="L16" s="151"/>
      <c r="M16" s="151"/>
      <c r="N16" s="151"/>
    </row>
    <row r="17" spans="1:14" ht="18.75" customHeight="1" x14ac:dyDescent="0.2">
      <c r="A17" s="526" t="s">
        <v>210</v>
      </c>
      <c r="B17" s="527"/>
      <c r="C17" s="527"/>
      <c r="D17" s="527"/>
      <c r="E17" s="527"/>
      <c r="F17" s="527"/>
      <c r="G17" s="527"/>
      <c r="H17" s="527"/>
      <c r="I17" s="527"/>
      <c r="J17" s="527"/>
      <c r="K17" s="527"/>
      <c r="L17" s="527"/>
      <c r="M17" s="527"/>
      <c r="N17" s="528"/>
    </row>
    <row r="18" spans="1:14" ht="15" x14ac:dyDescent="0.2">
      <c r="A18" s="171"/>
      <c r="B18" s="171"/>
      <c r="C18" s="171"/>
      <c r="D18" s="171"/>
      <c r="E18" s="171"/>
      <c r="F18" s="171"/>
      <c r="G18" s="171"/>
      <c r="H18" s="151"/>
      <c r="I18" s="151"/>
      <c r="J18" s="151"/>
      <c r="K18" s="151"/>
      <c r="L18" s="151"/>
      <c r="M18" s="151"/>
      <c r="N18" s="151"/>
    </row>
    <row r="19" spans="1:14" ht="15" x14ac:dyDescent="0.2">
      <c r="A19" s="171"/>
      <c r="B19" s="171"/>
      <c r="C19" s="171"/>
      <c r="D19" s="171"/>
      <c r="E19" s="171"/>
      <c r="F19" s="171"/>
      <c r="G19" s="171"/>
      <c r="H19" s="151"/>
      <c r="I19" s="151"/>
      <c r="J19" s="151"/>
      <c r="K19" s="151"/>
      <c r="L19" s="151"/>
      <c r="M19" s="151"/>
      <c r="N19" s="151"/>
    </row>
    <row r="20" spans="1:14" s="172" customFormat="1" ht="17.25" customHeight="1" thickBot="1" x14ac:dyDescent="0.25">
      <c r="A20" s="173"/>
      <c r="B20" s="173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</row>
    <row r="21" spans="1:14" s="172" customFormat="1" ht="19.5" customHeight="1" x14ac:dyDescent="0.2">
      <c r="A21" s="569" t="s">
        <v>297</v>
      </c>
      <c r="B21" s="570"/>
      <c r="C21" s="570"/>
      <c r="D21" s="570"/>
      <c r="E21" s="570"/>
      <c r="F21" s="570"/>
      <c r="G21" s="570"/>
      <c r="H21" s="570"/>
      <c r="I21" s="570"/>
      <c r="J21" s="570"/>
      <c r="K21" s="570"/>
      <c r="L21" s="570"/>
      <c r="M21" s="570"/>
      <c r="N21" s="571"/>
    </row>
    <row r="22" spans="1:14" s="172" customFormat="1" ht="37.5" customHeight="1" x14ac:dyDescent="0.2">
      <c r="A22" s="243" t="s">
        <v>206</v>
      </c>
      <c r="B22" s="416" t="s">
        <v>234</v>
      </c>
      <c r="C22" s="416"/>
      <c r="D22" s="416"/>
      <c r="E22" s="416"/>
      <c r="F22" s="416"/>
      <c r="G22" s="416" t="s">
        <v>293</v>
      </c>
      <c r="H22" s="416"/>
      <c r="I22" s="416" t="s">
        <v>9</v>
      </c>
      <c r="J22" s="416"/>
      <c r="K22" s="416" t="s">
        <v>294</v>
      </c>
      <c r="L22" s="416"/>
      <c r="M22" s="416" t="s">
        <v>295</v>
      </c>
      <c r="N22" s="579"/>
    </row>
    <row r="23" spans="1:14" s="172" customFormat="1" ht="17.25" customHeight="1" x14ac:dyDescent="0.2">
      <c r="A23" s="244"/>
      <c r="B23" s="530"/>
      <c r="C23" s="530"/>
      <c r="D23" s="530"/>
      <c r="E23" s="530"/>
      <c r="F23" s="530"/>
      <c r="G23" s="531"/>
      <c r="H23" s="531"/>
      <c r="I23" s="531"/>
      <c r="J23" s="531"/>
      <c r="K23" s="531"/>
      <c r="L23" s="531"/>
      <c r="M23" s="531"/>
      <c r="N23" s="578"/>
    </row>
    <row r="24" spans="1:14" s="172" customFormat="1" ht="17.25" customHeight="1" x14ac:dyDescent="0.2">
      <c r="A24" s="244"/>
      <c r="B24" s="530"/>
      <c r="C24" s="530"/>
      <c r="D24" s="530"/>
      <c r="E24" s="530"/>
      <c r="F24" s="530"/>
      <c r="G24" s="531"/>
      <c r="H24" s="531"/>
      <c r="I24" s="531"/>
      <c r="J24" s="531"/>
      <c r="K24" s="531"/>
      <c r="L24" s="531"/>
      <c r="M24" s="531"/>
      <c r="N24" s="578"/>
    </row>
    <row r="25" spans="1:14" s="172" customFormat="1" ht="17.25" customHeight="1" x14ac:dyDescent="0.2">
      <c r="A25" s="244"/>
      <c r="B25" s="530"/>
      <c r="C25" s="530"/>
      <c r="D25" s="530"/>
      <c r="E25" s="530"/>
      <c r="F25" s="530"/>
      <c r="G25" s="531"/>
      <c r="H25" s="531"/>
      <c r="I25" s="531"/>
      <c r="J25" s="531"/>
      <c r="K25" s="531"/>
      <c r="L25" s="531"/>
      <c r="M25" s="531"/>
      <c r="N25" s="578"/>
    </row>
    <row r="26" spans="1:14" s="172" customFormat="1" ht="17.25" customHeight="1" thickBot="1" x14ac:dyDescent="0.25">
      <c r="A26" s="245"/>
      <c r="B26" s="577"/>
      <c r="C26" s="577"/>
      <c r="D26" s="577"/>
      <c r="E26" s="577"/>
      <c r="F26" s="577"/>
      <c r="G26" s="529"/>
      <c r="H26" s="529"/>
      <c r="I26" s="529"/>
      <c r="J26" s="529"/>
      <c r="K26" s="529"/>
      <c r="L26" s="529"/>
      <c r="M26" s="529"/>
      <c r="N26" s="580"/>
    </row>
    <row r="27" spans="1:14" s="172" customFormat="1" ht="19.5" customHeight="1" thickTop="1" thickBot="1" x14ac:dyDescent="0.25">
      <c r="A27" s="586" t="s">
        <v>295</v>
      </c>
      <c r="B27" s="587"/>
      <c r="C27" s="587"/>
      <c r="D27" s="587"/>
      <c r="E27" s="587"/>
      <c r="F27" s="587"/>
      <c r="G27" s="560">
        <f>SUM(G23:H26)</f>
        <v>0</v>
      </c>
      <c r="H27" s="560"/>
      <c r="I27" s="560">
        <f>SUM(I23:J26)</f>
        <v>0</v>
      </c>
      <c r="J27" s="560"/>
      <c r="K27" s="560">
        <f>SUM(K23:L26)</f>
        <v>0</v>
      </c>
      <c r="L27" s="560"/>
      <c r="M27" s="581">
        <f>SUM(G27:L27)</f>
        <v>0</v>
      </c>
      <c r="N27" s="582"/>
    </row>
    <row r="28" spans="1:14" s="172" customFormat="1" ht="19.5" customHeight="1" thickBot="1" x14ac:dyDescent="0.25">
      <c r="A28" s="588" t="s">
        <v>296</v>
      </c>
      <c r="B28" s="542"/>
      <c r="C28" s="542"/>
      <c r="D28" s="542"/>
      <c r="E28" s="542"/>
      <c r="F28" s="542"/>
      <c r="G28" s="583"/>
      <c r="H28" s="583"/>
      <c r="I28" s="583"/>
      <c r="J28" s="583"/>
      <c r="K28" s="583"/>
      <c r="L28" s="583"/>
      <c r="M28" s="584">
        <v>1</v>
      </c>
      <c r="N28" s="585"/>
    </row>
    <row r="29" spans="1:14" s="172" customFormat="1" ht="17.25" customHeight="1" x14ac:dyDescent="0.2">
      <c r="A29" s="173"/>
      <c r="B29" s="173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</row>
    <row r="30" spans="1:14" s="172" customFormat="1" ht="17.25" customHeight="1" x14ac:dyDescent="0.2">
      <c r="A30" s="173"/>
      <c r="B30" s="173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</row>
    <row r="31" spans="1:14" s="172" customFormat="1" ht="17.25" customHeight="1" x14ac:dyDescent="0.2">
      <c r="A31" s="173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</row>
    <row r="32" spans="1:14" s="172" customFormat="1" ht="17.25" customHeight="1" x14ac:dyDescent="0.2">
      <c r="A32" s="526" t="s">
        <v>211</v>
      </c>
      <c r="B32" s="527"/>
      <c r="C32" s="527"/>
      <c r="D32" s="527"/>
      <c r="E32" s="527"/>
      <c r="F32" s="527"/>
      <c r="G32" s="527"/>
      <c r="H32" s="527"/>
      <c r="I32" s="527"/>
      <c r="J32" s="527"/>
      <c r="K32" s="527"/>
      <c r="L32" s="527"/>
      <c r="M32" s="527"/>
      <c r="N32" s="528"/>
    </row>
    <row r="33" spans="1:14" ht="14.25" x14ac:dyDescent="0.2">
      <c r="A33" s="173"/>
      <c r="B33" s="173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</row>
    <row r="34" spans="1:14" s="172" customFormat="1" ht="18" customHeight="1" x14ac:dyDescent="0.2">
      <c r="A34" s="173"/>
      <c r="B34" s="173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</row>
    <row r="35" spans="1:14" x14ac:dyDescent="0.2">
      <c r="A35" s="17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</row>
    <row r="36" spans="1:14" ht="12.75" customHeight="1" x14ac:dyDescent="0.2"/>
    <row r="37" spans="1:14" ht="12.75" customHeight="1" x14ac:dyDescent="0.2">
      <c r="B37" s="518" t="s">
        <v>273</v>
      </c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</row>
    <row r="38" spans="1:14" x14ac:dyDescent="0.2">
      <c r="B38" s="107" t="s">
        <v>235</v>
      </c>
      <c r="C38" s="175"/>
      <c r="D38" s="176"/>
      <c r="E38" s="176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4" ht="36" customHeight="1" x14ac:dyDescent="0.2">
      <c r="B39" s="519" t="s">
        <v>236</v>
      </c>
      <c r="C39" s="519"/>
      <c r="D39" s="519"/>
      <c r="E39" s="519"/>
      <c r="F39" s="519"/>
      <c r="G39" s="519"/>
      <c r="H39" s="519"/>
      <c r="I39" s="519"/>
      <c r="J39" s="519"/>
      <c r="K39" s="519"/>
      <c r="L39" s="519"/>
      <c r="M39" s="519"/>
      <c r="N39" s="519"/>
    </row>
    <row r="40" spans="1:14" ht="12.75" customHeight="1" x14ac:dyDescent="0.2">
      <c r="B40" s="518" t="s">
        <v>212</v>
      </c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</row>
    <row r="41" spans="1:14" ht="25.5" customHeight="1" x14ac:dyDescent="0.2">
      <c r="B41" s="518" t="s">
        <v>213</v>
      </c>
      <c r="C41" s="518"/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</row>
    <row r="42" spans="1:14" ht="12.75" customHeight="1" x14ac:dyDescent="0.2">
      <c r="B42" s="518" t="s">
        <v>274</v>
      </c>
      <c r="C42" s="518"/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</row>
    <row r="43" spans="1:14" x14ac:dyDescent="0.2">
      <c r="B43" s="518" t="s">
        <v>214</v>
      </c>
      <c r="C43" s="518"/>
      <c r="D43" s="518"/>
      <c r="E43" s="518"/>
      <c r="F43" s="518"/>
      <c r="G43" s="518"/>
      <c r="H43" s="518"/>
      <c r="I43" s="518"/>
      <c r="J43" s="518"/>
      <c r="K43" s="518"/>
      <c r="L43" s="518"/>
      <c r="M43" s="518"/>
      <c r="N43" s="518"/>
    </row>
    <row r="44" spans="1:14" x14ac:dyDescent="0.2">
      <c r="B44" s="518" t="s">
        <v>215</v>
      </c>
      <c r="C44" s="518"/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</row>
    <row r="45" spans="1:14" x14ac:dyDescent="0.2">
      <c r="B45" s="518" t="s">
        <v>216</v>
      </c>
      <c r="C45" s="518"/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</row>
    <row r="46" spans="1:14" x14ac:dyDescent="0.2">
      <c r="B46" s="108"/>
      <c r="C46" s="175"/>
      <c r="D46" s="176"/>
      <c r="E46" s="176"/>
      <c r="F46" s="175"/>
      <c r="G46" s="175"/>
      <c r="H46" s="175"/>
      <c r="I46" s="175"/>
      <c r="J46" s="175"/>
      <c r="K46" s="175"/>
      <c r="L46" s="175"/>
      <c r="M46" s="175"/>
      <c r="N46" s="175"/>
    </row>
    <row r="47" spans="1:14" x14ac:dyDescent="0.2">
      <c r="B47" s="108"/>
      <c r="C47" s="175"/>
      <c r="D47" s="176"/>
      <c r="E47" s="176"/>
      <c r="F47" s="175"/>
      <c r="G47" s="175"/>
      <c r="H47" s="175"/>
      <c r="I47" s="175"/>
      <c r="J47" s="175"/>
      <c r="K47" s="175"/>
      <c r="L47" s="175"/>
      <c r="M47" s="175"/>
      <c r="N47" s="175"/>
    </row>
    <row r="48" spans="1:14" x14ac:dyDescent="0.2">
      <c r="B48" s="108"/>
      <c r="C48" s="175"/>
      <c r="D48" s="176"/>
      <c r="E48" s="176"/>
      <c r="F48" s="175"/>
      <c r="G48" s="175"/>
      <c r="H48" s="175"/>
      <c r="I48" s="175"/>
      <c r="J48" s="175"/>
      <c r="K48" s="175"/>
      <c r="L48" s="175"/>
      <c r="M48" s="175"/>
      <c r="N48" s="175"/>
    </row>
    <row r="49" spans="2:19" x14ac:dyDescent="0.2">
      <c r="B49" s="108"/>
      <c r="C49" s="175"/>
      <c r="D49" s="176"/>
      <c r="E49" s="176"/>
      <c r="F49" s="175"/>
      <c r="G49" s="175"/>
      <c r="H49" s="175"/>
      <c r="I49" s="175"/>
      <c r="J49" s="175"/>
      <c r="K49" s="175"/>
      <c r="L49" s="175"/>
      <c r="M49" s="175"/>
      <c r="N49" s="175"/>
    </row>
    <row r="50" spans="2:19" x14ac:dyDescent="0.2">
      <c r="B50" s="108"/>
      <c r="C50" s="175"/>
      <c r="D50" s="176"/>
      <c r="E50" s="176"/>
      <c r="F50" s="175"/>
      <c r="G50" s="175"/>
      <c r="H50" s="175"/>
      <c r="I50" s="175"/>
      <c r="J50" s="175"/>
      <c r="K50" s="175"/>
      <c r="L50" s="175"/>
      <c r="M50" s="175"/>
      <c r="N50" s="175"/>
    </row>
    <row r="51" spans="2:19" x14ac:dyDescent="0.2">
      <c r="B51" s="109"/>
      <c r="C51" s="99"/>
      <c r="D51" s="177"/>
      <c r="E51" s="177"/>
      <c r="F51" s="99"/>
      <c r="G51" s="99"/>
      <c r="H51" s="99"/>
      <c r="I51" s="99"/>
      <c r="J51" s="99"/>
      <c r="K51" s="99"/>
      <c r="L51" s="99"/>
      <c r="M51" s="99"/>
      <c r="N51" s="99"/>
    </row>
    <row r="52" spans="2:19" ht="15.75" x14ac:dyDescent="0.25">
      <c r="B52" s="493" t="s">
        <v>508</v>
      </c>
      <c r="C52" s="493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/>
      <c r="R52" s="493"/>
      <c r="S52" s="493"/>
    </row>
    <row r="53" spans="2:19" ht="13.5" x14ac:dyDescent="0.25">
      <c r="B53" s="178" t="s">
        <v>299</v>
      </c>
      <c r="C53" s="99"/>
      <c r="J53" s="99"/>
      <c r="K53" s="99"/>
      <c r="L53" s="99"/>
      <c r="M53" s="99"/>
      <c r="N53" s="99"/>
    </row>
    <row r="54" spans="2:19" ht="13.5" x14ac:dyDescent="0.25">
      <c r="B54" s="110"/>
      <c r="C54" s="99"/>
      <c r="J54" s="99"/>
      <c r="K54" s="99"/>
      <c r="L54" s="99"/>
      <c r="M54" s="99"/>
      <c r="N54" s="99"/>
    </row>
    <row r="55" spans="2:19" ht="13.5" x14ac:dyDescent="0.25">
      <c r="B55" s="110"/>
      <c r="C55" s="99"/>
      <c r="J55" s="99"/>
      <c r="K55" s="99"/>
      <c r="L55" s="99"/>
      <c r="M55" s="99"/>
      <c r="N55" s="99"/>
    </row>
    <row r="56" spans="2:19" ht="13.5" x14ac:dyDescent="0.25">
      <c r="B56" s="110"/>
      <c r="C56" s="99"/>
      <c r="J56" s="99"/>
      <c r="K56" s="99"/>
      <c r="L56" s="99"/>
      <c r="M56" s="99"/>
      <c r="N56" s="99"/>
    </row>
    <row r="57" spans="2:19" ht="13.5" x14ac:dyDescent="0.25">
      <c r="B57" s="110"/>
      <c r="C57" s="99"/>
      <c r="J57" s="99"/>
      <c r="K57" s="99"/>
      <c r="L57" s="99"/>
      <c r="M57" s="99"/>
      <c r="N57" s="99"/>
    </row>
    <row r="58" spans="2:19" ht="13.5" x14ac:dyDescent="0.25">
      <c r="B58" s="110"/>
      <c r="C58" s="99"/>
      <c r="J58" s="99"/>
      <c r="K58" s="99"/>
      <c r="L58" s="99"/>
      <c r="M58" s="99"/>
      <c r="N58" s="99"/>
    </row>
    <row r="59" spans="2:19" ht="13.5" x14ac:dyDescent="0.25">
      <c r="B59" s="110"/>
      <c r="C59" s="99"/>
      <c r="J59" s="99"/>
      <c r="K59" s="99"/>
      <c r="L59" s="99"/>
      <c r="M59" s="99"/>
      <c r="N59" s="99"/>
    </row>
    <row r="60" spans="2:19" ht="13.5" x14ac:dyDescent="0.25">
      <c r="B60" s="110"/>
      <c r="C60" s="99"/>
      <c r="J60" s="99"/>
      <c r="K60" s="99"/>
      <c r="L60" s="99"/>
      <c r="M60" s="99"/>
      <c r="N60" s="99"/>
    </row>
  </sheetData>
  <mergeCells count="67">
    <mergeCell ref="A32:N32"/>
    <mergeCell ref="K27:L27"/>
    <mergeCell ref="M27:N27"/>
    <mergeCell ref="K28:L28"/>
    <mergeCell ref="I28:J28"/>
    <mergeCell ref="M28:N28"/>
    <mergeCell ref="A27:F27"/>
    <mergeCell ref="A28:F28"/>
    <mergeCell ref="G27:H27"/>
    <mergeCell ref="G28:H28"/>
    <mergeCell ref="K25:L25"/>
    <mergeCell ref="M25:N25"/>
    <mergeCell ref="M22:N22"/>
    <mergeCell ref="M26:N26"/>
    <mergeCell ref="M24:N24"/>
    <mergeCell ref="K23:L23"/>
    <mergeCell ref="M23:N23"/>
    <mergeCell ref="K24:L24"/>
    <mergeCell ref="B8:C8"/>
    <mergeCell ref="I27:J27"/>
    <mergeCell ref="E9:H9"/>
    <mergeCell ref="B11:C11"/>
    <mergeCell ref="A13:H13"/>
    <mergeCell ref="E10:H10"/>
    <mergeCell ref="B23:F23"/>
    <mergeCell ref="G23:H23"/>
    <mergeCell ref="I23:J23"/>
    <mergeCell ref="I24:J24"/>
    <mergeCell ref="A21:N21"/>
    <mergeCell ref="E8:H8"/>
    <mergeCell ref="B9:C9"/>
    <mergeCell ref="B10:C10"/>
    <mergeCell ref="B26:F26"/>
    <mergeCell ref="G26:H26"/>
    <mergeCell ref="A1:N1"/>
    <mergeCell ref="B7:C7"/>
    <mergeCell ref="A5:A6"/>
    <mergeCell ref="B5:C6"/>
    <mergeCell ref="D5:D6"/>
    <mergeCell ref="E7:H7"/>
    <mergeCell ref="J5:N5"/>
    <mergeCell ref="I5:I6"/>
    <mergeCell ref="E5:H6"/>
    <mergeCell ref="A4:N4"/>
    <mergeCell ref="B39:N39"/>
    <mergeCell ref="B37:N37"/>
    <mergeCell ref="E11:H11"/>
    <mergeCell ref="A12:N12"/>
    <mergeCell ref="A17:N17"/>
    <mergeCell ref="B22:F22"/>
    <mergeCell ref="I26:J26"/>
    <mergeCell ref="K26:L26"/>
    <mergeCell ref="G22:H22"/>
    <mergeCell ref="I22:J22"/>
    <mergeCell ref="K22:L22"/>
    <mergeCell ref="B24:F24"/>
    <mergeCell ref="G24:H24"/>
    <mergeCell ref="B25:F25"/>
    <mergeCell ref="G25:H25"/>
    <mergeCell ref="I25:J25"/>
    <mergeCell ref="B52:S52"/>
    <mergeCell ref="B40:N40"/>
    <mergeCell ref="B45:N45"/>
    <mergeCell ref="B41:N41"/>
    <mergeCell ref="B42:N42"/>
    <mergeCell ref="B43:N43"/>
    <mergeCell ref="B44:N44"/>
  </mergeCells>
  <phoneticPr fontId="9" type="noConversion"/>
  <pageMargins left="0.78740157480314965" right="0.19685039370078741" top="0.59055118110236227" bottom="0.59055118110236227" header="0.31496062992125984" footer="0.31496062992125984"/>
  <pageSetup paperSize="9" scale="44" fitToHeight="0" orientation="portrait" r:id="rId1"/>
  <headerFooter alignWithMargins="0"/>
  <ignoredErrors>
    <ignoredError sqref="J13:N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9" workbookViewId="0">
      <selection sqref="A1:J27"/>
    </sheetView>
  </sheetViews>
  <sheetFormatPr defaultRowHeight="12.75" x14ac:dyDescent="0.2"/>
  <cols>
    <col min="1" max="1" width="49.7109375" customWidth="1"/>
    <col min="4" max="4" width="18.42578125" customWidth="1"/>
    <col min="10" max="10" width="18.140625" customWidth="1"/>
  </cols>
  <sheetData>
    <row r="1" spans="1:10" ht="15.75" x14ac:dyDescent="0.25">
      <c r="A1" s="357"/>
      <c r="B1" s="357"/>
      <c r="C1" s="357"/>
      <c r="D1" s="357"/>
      <c r="E1" s="357"/>
      <c r="F1" s="357"/>
      <c r="G1" s="358" t="s">
        <v>69</v>
      </c>
      <c r="H1" s="358"/>
      <c r="I1" s="358"/>
      <c r="J1" s="1"/>
    </row>
    <row r="2" spans="1:10" ht="15.75" x14ac:dyDescent="0.25">
      <c r="A2" s="357"/>
      <c r="B2" s="357"/>
      <c r="C2" s="357"/>
      <c r="D2" s="357"/>
      <c r="E2" s="357"/>
      <c r="F2" s="357"/>
      <c r="G2" s="357"/>
      <c r="H2" s="357"/>
      <c r="I2" s="357"/>
      <c r="J2" s="1"/>
    </row>
    <row r="3" spans="1:10" ht="15.75" x14ac:dyDescent="0.25">
      <c r="A3" s="357"/>
      <c r="B3" s="357"/>
      <c r="C3" s="357"/>
      <c r="D3" s="357"/>
      <c r="E3" s="357"/>
      <c r="F3" s="357"/>
      <c r="G3" s="357"/>
      <c r="H3" s="357"/>
      <c r="I3" s="43" t="s">
        <v>424</v>
      </c>
      <c r="J3" s="1"/>
    </row>
    <row r="4" spans="1:10" ht="16.5" thickBot="1" x14ac:dyDescent="0.3">
      <c r="A4" s="43"/>
      <c r="B4" s="47"/>
      <c r="C4" s="47"/>
      <c r="D4" s="47"/>
      <c r="E4" s="47"/>
      <c r="F4" s="47"/>
      <c r="G4" s="47"/>
      <c r="H4" s="47"/>
      <c r="I4" s="47"/>
      <c r="J4" s="1"/>
    </row>
    <row r="5" spans="1:10" ht="16.5" thickBot="1" x14ac:dyDescent="0.25">
      <c r="A5" s="591" t="s">
        <v>425</v>
      </c>
      <c r="B5" s="592"/>
      <c r="C5" s="592"/>
      <c r="D5" s="592"/>
      <c r="E5" s="592"/>
      <c r="F5" s="592"/>
      <c r="G5" s="592"/>
      <c r="H5" s="592"/>
      <c r="I5" s="592"/>
      <c r="J5" s="593"/>
    </row>
    <row r="6" spans="1:10" x14ac:dyDescent="0.2">
      <c r="A6" s="594"/>
      <c r="B6" s="595" t="s">
        <v>38</v>
      </c>
      <c r="C6" s="595" t="s">
        <v>52</v>
      </c>
      <c r="D6" s="597" t="s">
        <v>426</v>
      </c>
      <c r="E6" s="599" t="s">
        <v>53</v>
      </c>
      <c r="F6" s="601" t="s">
        <v>76</v>
      </c>
      <c r="G6" s="602"/>
      <c r="H6" s="602"/>
      <c r="I6" s="603"/>
      <c r="J6" s="589" t="s">
        <v>427</v>
      </c>
    </row>
    <row r="7" spans="1:10" ht="25.5" customHeight="1" x14ac:dyDescent="0.2">
      <c r="A7" s="364"/>
      <c r="B7" s="596"/>
      <c r="C7" s="596"/>
      <c r="D7" s="598"/>
      <c r="E7" s="600"/>
      <c r="F7" s="291" t="s">
        <v>72</v>
      </c>
      <c r="G7" s="291" t="s">
        <v>73</v>
      </c>
      <c r="H7" s="291" t="s">
        <v>74</v>
      </c>
      <c r="I7" s="292" t="s">
        <v>75</v>
      </c>
      <c r="J7" s="590"/>
    </row>
    <row r="8" spans="1:10" ht="54.75" customHeight="1" x14ac:dyDescent="0.25">
      <c r="A8" s="73" t="s">
        <v>428</v>
      </c>
      <c r="B8" s="71" t="s">
        <v>28</v>
      </c>
      <c r="C8" s="192">
        <f>C10+C11</f>
        <v>0</v>
      </c>
      <c r="D8" s="268"/>
      <c r="E8" s="269">
        <f t="shared" ref="E8:E17" si="0">SUM(F8:I8)</f>
        <v>0</v>
      </c>
      <c r="F8" s="179"/>
      <c r="G8" s="179"/>
      <c r="H8" s="179"/>
      <c r="I8" s="180"/>
      <c r="J8" s="270"/>
    </row>
    <row r="9" spans="1:10" ht="15" x14ac:dyDescent="0.25">
      <c r="A9" s="74" t="s">
        <v>509</v>
      </c>
      <c r="B9" s="40"/>
      <c r="C9" s="193"/>
      <c r="D9" s="271"/>
      <c r="E9" s="272">
        <f t="shared" si="0"/>
        <v>0</v>
      </c>
      <c r="F9" s="182"/>
      <c r="G9" s="182"/>
      <c r="H9" s="182"/>
      <c r="I9" s="183"/>
      <c r="J9" s="273"/>
    </row>
    <row r="10" spans="1:10" ht="15.75" x14ac:dyDescent="0.25">
      <c r="A10" s="321"/>
      <c r="B10" s="40"/>
      <c r="C10" s="320"/>
      <c r="D10" s="271"/>
      <c r="E10" s="272"/>
      <c r="F10" s="182"/>
      <c r="G10" s="182"/>
      <c r="H10" s="182"/>
      <c r="I10" s="183"/>
      <c r="J10" s="273"/>
    </row>
    <row r="11" spans="1:10" ht="15.75" x14ac:dyDescent="0.25">
      <c r="A11" s="322"/>
      <c r="B11" s="40"/>
      <c r="C11" s="320"/>
      <c r="D11" s="271"/>
      <c r="E11" s="272"/>
      <c r="F11" s="182"/>
      <c r="G11" s="182"/>
      <c r="H11" s="182"/>
      <c r="I11" s="183"/>
      <c r="J11" s="273"/>
    </row>
    <row r="12" spans="1:10" ht="15.75" x14ac:dyDescent="0.25">
      <c r="A12" s="317"/>
      <c r="B12" s="274" t="s">
        <v>79</v>
      </c>
      <c r="C12" s="193"/>
      <c r="D12" s="271"/>
      <c r="E12" s="272">
        <f t="shared" si="0"/>
        <v>0</v>
      </c>
      <c r="F12" s="184"/>
      <c r="G12" s="184"/>
      <c r="H12" s="184"/>
      <c r="I12" s="185"/>
      <c r="J12" s="273"/>
    </row>
    <row r="13" spans="1:10" ht="23.25" customHeight="1" x14ac:dyDescent="0.25">
      <c r="A13" s="73" t="s">
        <v>258</v>
      </c>
      <c r="B13" s="70" t="s">
        <v>29</v>
      </c>
      <c r="C13" s="192">
        <f>C15</f>
        <v>0</v>
      </c>
      <c r="D13" s="268"/>
      <c r="E13" s="269">
        <f t="shared" si="0"/>
        <v>0</v>
      </c>
      <c r="F13" s="179"/>
      <c r="G13" s="179"/>
      <c r="H13" s="179"/>
      <c r="I13" s="180"/>
      <c r="J13" s="270"/>
    </row>
    <row r="14" spans="1:10" ht="15.75" x14ac:dyDescent="0.25">
      <c r="A14" s="74" t="s">
        <v>429</v>
      </c>
      <c r="B14" s="70"/>
      <c r="C14" s="194"/>
      <c r="D14" s="275"/>
      <c r="E14" s="276">
        <f t="shared" si="0"/>
        <v>0</v>
      </c>
      <c r="F14" s="186"/>
      <c r="G14" s="186"/>
      <c r="H14" s="186"/>
      <c r="I14" s="187"/>
      <c r="J14" s="277"/>
    </row>
    <row r="15" spans="1:10" ht="15.75" x14ac:dyDescent="0.25">
      <c r="A15" s="323"/>
      <c r="B15" s="70" t="s">
        <v>430</v>
      </c>
      <c r="C15" s="318"/>
      <c r="D15" s="319"/>
      <c r="E15" s="276"/>
      <c r="F15" s="186"/>
      <c r="G15" s="186"/>
      <c r="H15" s="186"/>
      <c r="I15" s="187"/>
      <c r="J15" s="277"/>
    </row>
    <row r="16" spans="1:10" ht="35.25" customHeight="1" x14ac:dyDescent="0.25">
      <c r="A16" s="75" t="s">
        <v>431</v>
      </c>
      <c r="B16" s="70">
        <v>3</v>
      </c>
      <c r="C16" s="195">
        <f>C18</f>
        <v>50.5</v>
      </c>
      <c r="D16" s="278"/>
      <c r="E16" s="269">
        <f t="shared" si="0"/>
        <v>1873.3333333333333</v>
      </c>
      <c r="F16" s="179">
        <f>F19+F20</f>
        <v>717.5</v>
      </c>
      <c r="G16" s="179">
        <f>G19+G20</f>
        <v>385</v>
      </c>
      <c r="H16" s="179">
        <f>H19+H20</f>
        <v>385</v>
      </c>
      <c r="I16" s="180">
        <f>I19+I20</f>
        <v>385.83333333333331</v>
      </c>
      <c r="J16" s="279"/>
    </row>
    <row r="17" spans="1:10" ht="15.75" x14ac:dyDescent="0.25">
      <c r="A17" s="74" t="s">
        <v>432</v>
      </c>
      <c r="B17" s="113"/>
      <c r="C17" s="196"/>
      <c r="D17" s="280"/>
      <c r="E17" s="281">
        <f t="shared" si="0"/>
        <v>0</v>
      </c>
      <c r="F17" s="188"/>
      <c r="G17" s="188"/>
      <c r="H17" s="188"/>
      <c r="I17" s="189"/>
      <c r="J17" s="282"/>
    </row>
    <row r="18" spans="1:10" ht="31.5" x14ac:dyDescent="0.25">
      <c r="A18" s="36" t="s">
        <v>493</v>
      </c>
      <c r="B18" s="283" t="s">
        <v>433</v>
      </c>
      <c r="C18" s="284">
        <v>50.5</v>
      </c>
      <c r="D18" s="319" t="s">
        <v>492</v>
      </c>
      <c r="E18" s="285"/>
      <c r="F18" s="286"/>
      <c r="G18" s="286"/>
      <c r="H18" s="286"/>
      <c r="I18" s="287"/>
      <c r="J18" s="288"/>
    </row>
    <row r="19" spans="1:10" ht="15.75" x14ac:dyDescent="0.25">
      <c r="A19" s="324" t="s">
        <v>496</v>
      </c>
      <c r="B19" s="283"/>
      <c r="C19" s="284"/>
      <c r="D19" s="319"/>
      <c r="E19" s="285">
        <f>F19+G19+H19+I19</f>
        <v>1639.9999999999998</v>
      </c>
      <c r="F19" s="286">
        <f>фінплан!D105-'Таблиця 6'!F20</f>
        <v>484.16666666666663</v>
      </c>
      <c r="G19" s="286">
        <f>фінплан!E105</f>
        <v>385</v>
      </c>
      <c r="H19" s="286">
        <f>фінплан!F105</f>
        <v>385</v>
      </c>
      <c r="I19" s="325">
        <f>фінплан!G105</f>
        <v>385.83333333333331</v>
      </c>
      <c r="J19" s="327" t="s">
        <v>492</v>
      </c>
    </row>
    <row r="20" spans="1:10" ht="16.5" thickBot="1" x14ac:dyDescent="0.3">
      <c r="A20" s="324" t="s">
        <v>497</v>
      </c>
      <c r="B20" s="283"/>
      <c r="C20" s="284"/>
      <c r="D20" s="319"/>
      <c r="E20" s="285">
        <f>F20+G20+H20+I20</f>
        <v>233.33333333333334</v>
      </c>
      <c r="F20" s="286">
        <f>280/120*100</f>
        <v>233.33333333333334</v>
      </c>
      <c r="G20" s="286"/>
      <c r="H20" s="286"/>
      <c r="I20" s="325"/>
      <c r="J20" s="327" t="s">
        <v>492</v>
      </c>
    </row>
    <row r="21" spans="1:10" ht="16.5" thickBot="1" x14ac:dyDescent="0.3">
      <c r="A21" s="114"/>
      <c r="B21" s="115" t="s">
        <v>56</v>
      </c>
      <c r="C21" s="197">
        <f>C8+C13+C16</f>
        <v>50.5</v>
      </c>
      <c r="D21" s="289"/>
      <c r="E21" s="290">
        <f>SUM(F21:I21)</f>
        <v>1873.3333333333333</v>
      </c>
      <c r="F21" s="190">
        <f>F8+F13+F16</f>
        <v>717.5</v>
      </c>
      <c r="G21" s="190">
        <f>G8+G13+G16</f>
        <v>385</v>
      </c>
      <c r="H21" s="190">
        <f>H8+H13+H16</f>
        <v>385</v>
      </c>
      <c r="I21" s="191">
        <f>I8+I13+I16</f>
        <v>385.83333333333331</v>
      </c>
      <c r="J21" s="326"/>
    </row>
    <row r="22" spans="1:10" ht="15.75" x14ac:dyDescent="0.25">
      <c r="A22" s="76"/>
      <c r="B22" s="77"/>
      <c r="C22" s="78"/>
      <c r="D22" s="78"/>
      <c r="E22" s="79"/>
      <c r="F22" s="80"/>
      <c r="G22" s="80"/>
      <c r="H22" s="80"/>
      <c r="I22" s="80"/>
      <c r="J22" s="1"/>
    </row>
    <row r="23" spans="1:10" ht="15.75" x14ac:dyDescent="0.25">
      <c r="A23" s="76"/>
      <c r="B23" s="77"/>
      <c r="C23" s="78"/>
      <c r="D23" s="78"/>
      <c r="E23" s="79"/>
      <c r="F23" s="80"/>
      <c r="G23" s="80"/>
      <c r="H23" s="80"/>
      <c r="I23" s="80"/>
      <c r="J23" s="1"/>
    </row>
    <row r="24" spans="1:10" ht="15.75" x14ac:dyDescent="0.25">
      <c r="A24" s="76"/>
      <c r="B24" s="77"/>
      <c r="C24" s="78"/>
      <c r="D24" s="78"/>
      <c r="E24" s="79"/>
      <c r="F24" s="80"/>
      <c r="G24" s="80"/>
      <c r="H24" s="80"/>
      <c r="I24" s="80"/>
      <c r="J24" s="1"/>
    </row>
    <row r="25" spans="1:10" ht="15.75" x14ac:dyDescent="0.25">
      <c r="A25" s="43"/>
      <c r="B25" s="43"/>
      <c r="C25" s="43"/>
      <c r="D25" s="43"/>
      <c r="E25" s="81"/>
      <c r="F25" s="81"/>
      <c r="G25" s="81"/>
      <c r="H25" s="81"/>
      <c r="I25" s="81"/>
      <c r="J25" s="1"/>
    </row>
    <row r="26" spans="1:10" ht="15.75" x14ac:dyDescent="0.25">
      <c r="A26" s="82" t="s">
        <v>0</v>
      </c>
      <c r="B26" s="83"/>
      <c r="C26" s="83"/>
      <c r="D26" s="83"/>
      <c r="E26" s="306" t="s">
        <v>495</v>
      </c>
      <c r="F26" s="83"/>
      <c r="G26" s="83"/>
      <c r="H26" s="83"/>
      <c r="I26" s="83"/>
      <c r="J26" s="29"/>
    </row>
    <row r="27" spans="1:10" ht="15.75" x14ac:dyDescent="0.25">
      <c r="A27" s="84" t="s">
        <v>494</v>
      </c>
      <c r="B27" s="83"/>
      <c r="C27" s="83"/>
      <c r="D27" s="83"/>
      <c r="E27" s="83"/>
      <c r="F27" s="83"/>
      <c r="G27" s="83"/>
      <c r="H27" s="83"/>
      <c r="I27" s="83"/>
      <c r="J27" s="29"/>
    </row>
    <row r="28" spans="1:10" ht="15.75" x14ac:dyDescent="0.25">
      <c r="A28" s="43"/>
      <c r="B28" s="35"/>
      <c r="C28" s="35"/>
      <c r="D28" s="35"/>
      <c r="E28" s="43"/>
      <c r="F28" s="43"/>
      <c r="G28" s="43"/>
      <c r="H28" s="43"/>
      <c r="I28" s="43"/>
      <c r="J28" s="1"/>
    </row>
  </sheetData>
  <mergeCells count="12">
    <mergeCell ref="J6:J7"/>
    <mergeCell ref="A1:F1"/>
    <mergeCell ref="G1:I1"/>
    <mergeCell ref="A2:I2"/>
    <mergeCell ref="A3:H3"/>
    <mergeCell ref="A5:J5"/>
    <mergeCell ref="A6:A7"/>
    <mergeCell ref="B6:B7"/>
    <mergeCell ref="C6:C7"/>
    <mergeCell ref="D6:D7"/>
    <mergeCell ref="E6:E7"/>
    <mergeCell ref="F6:I6"/>
  </mergeCells>
  <pageMargins left="0.7" right="0.7" top="0.75" bottom="0.75" header="0.3" footer="0.3"/>
  <pageSetup paperSize="9" scale="5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selection sqref="A1:K15"/>
    </sheetView>
  </sheetViews>
  <sheetFormatPr defaultRowHeight="12.75" x14ac:dyDescent="0.2"/>
  <cols>
    <col min="1" max="1" width="35.28515625" customWidth="1"/>
    <col min="3" max="3" width="10.42578125" customWidth="1"/>
    <col min="5" max="5" width="10.5703125" customWidth="1"/>
    <col min="9" max="9" width="11.28515625" bestFit="1" customWidth="1"/>
    <col min="10" max="10" width="11.28515625" customWidth="1"/>
    <col min="11" max="11" width="11" customWidth="1"/>
  </cols>
  <sheetData>
    <row r="1" spans="1:11" ht="15" x14ac:dyDescent="0.25">
      <c r="A1" s="370"/>
      <c r="B1" s="370"/>
      <c r="C1" s="370"/>
      <c r="D1" s="370"/>
      <c r="E1" s="370"/>
      <c r="F1" s="370"/>
      <c r="G1" s="370"/>
      <c r="H1" s="372" t="s">
        <v>69</v>
      </c>
      <c r="I1" s="372"/>
      <c r="J1" s="372"/>
      <c r="K1" s="22"/>
    </row>
    <row r="2" spans="1:11" ht="15" x14ac:dyDescent="0.25">
      <c r="A2" s="370"/>
      <c r="B2" s="370"/>
      <c r="C2" s="370"/>
      <c r="D2" s="370"/>
      <c r="E2" s="370"/>
      <c r="F2" s="370"/>
      <c r="G2" s="370"/>
      <c r="H2" s="370"/>
      <c r="I2" s="370"/>
      <c r="J2" s="370"/>
      <c r="K2" s="22"/>
    </row>
    <row r="3" spans="1:11" ht="15.75" thickBot="1" x14ac:dyDescent="0.3">
      <c r="A3" s="370"/>
      <c r="B3" s="370"/>
      <c r="C3" s="370"/>
      <c r="D3" s="370"/>
      <c r="E3" s="370"/>
      <c r="F3" s="370"/>
      <c r="G3" s="370"/>
      <c r="H3" s="370"/>
      <c r="I3" s="372" t="s">
        <v>434</v>
      </c>
      <c r="J3" s="372"/>
      <c r="K3" s="311" t="s">
        <v>465</v>
      </c>
    </row>
    <row r="4" spans="1:11" ht="16.5" thickBot="1" x14ac:dyDescent="0.25">
      <c r="A4" s="591" t="s">
        <v>435</v>
      </c>
      <c r="B4" s="592"/>
      <c r="C4" s="592"/>
      <c r="D4" s="592"/>
      <c r="E4" s="592"/>
      <c r="F4" s="592"/>
      <c r="G4" s="592"/>
      <c r="H4" s="592"/>
      <c r="I4" s="592"/>
      <c r="J4" s="592"/>
      <c r="K4" s="593"/>
    </row>
    <row r="5" spans="1:11" ht="15.75" x14ac:dyDescent="0.2">
      <c r="A5" s="604" t="s">
        <v>436</v>
      </c>
      <c r="B5" s="605" t="s">
        <v>38</v>
      </c>
      <c r="C5" s="606" t="s">
        <v>437</v>
      </c>
      <c r="D5" s="606"/>
      <c r="E5" s="606"/>
      <c r="F5" s="606"/>
      <c r="G5" s="606"/>
      <c r="H5" s="606"/>
      <c r="I5" s="606"/>
      <c r="J5" s="606"/>
      <c r="K5" s="607" t="s">
        <v>438</v>
      </c>
    </row>
    <row r="6" spans="1:11" ht="94.5" x14ac:dyDescent="0.2">
      <c r="A6" s="604"/>
      <c r="B6" s="340"/>
      <c r="C6" s="293" t="s">
        <v>439</v>
      </c>
      <c r="D6" s="293" t="s">
        <v>440</v>
      </c>
      <c r="E6" s="293" t="s">
        <v>441</v>
      </c>
      <c r="F6" s="293" t="s">
        <v>442</v>
      </c>
      <c r="G6" s="293" t="s">
        <v>443</v>
      </c>
      <c r="H6" s="293" t="s">
        <v>444</v>
      </c>
      <c r="I6" s="293" t="s">
        <v>445</v>
      </c>
      <c r="J6" s="293" t="s">
        <v>446</v>
      </c>
      <c r="K6" s="607"/>
    </row>
    <row r="7" spans="1:11" ht="15.75" x14ac:dyDescent="0.25">
      <c r="A7" s="294"/>
      <c r="B7" s="294"/>
      <c r="C7" s="295">
        <f>C10+C11</f>
        <v>4834.1000000000004</v>
      </c>
      <c r="D7" s="295"/>
      <c r="E7" s="295"/>
      <c r="F7" s="296"/>
      <c r="G7" s="296"/>
      <c r="H7" s="296"/>
      <c r="I7" s="296">
        <v>15736.2</v>
      </c>
      <c r="J7" s="296">
        <v>1643.2</v>
      </c>
      <c r="K7" s="296">
        <f>C7+I7+J7</f>
        <v>22213.500000000004</v>
      </c>
    </row>
    <row r="8" spans="1:11" ht="15.75" x14ac:dyDescent="0.25">
      <c r="A8" s="297" t="s">
        <v>447</v>
      </c>
      <c r="B8" s="297"/>
      <c r="C8" s="295"/>
      <c r="D8" s="295"/>
      <c r="E8" s="295"/>
      <c r="F8" s="296"/>
      <c r="G8" s="296"/>
      <c r="H8" s="296"/>
      <c r="I8" s="296"/>
      <c r="J8" s="296"/>
      <c r="K8" s="296"/>
    </row>
    <row r="9" spans="1:11" ht="15.75" x14ac:dyDescent="0.25">
      <c r="A9" s="294" t="s">
        <v>448</v>
      </c>
      <c r="B9" s="294"/>
      <c r="C9" s="295"/>
      <c r="D9" s="295"/>
      <c r="E9" s="295"/>
      <c r="F9" s="296"/>
      <c r="G9" s="296"/>
      <c r="H9" s="296"/>
      <c r="I9" s="296"/>
      <c r="J9" s="296"/>
      <c r="K9" s="296"/>
    </row>
    <row r="10" spans="1:11" ht="15.75" x14ac:dyDescent="0.25">
      <c r="A10" s="294" t="s">
        <v>449</v>
      </c>
      <c r="B10" s="294"/>
      <c r="C10" s="295">
        <v>4026.6</v>
      </c>
      <c r="D10" s="295"/>
      <c r="E10" s="295"/>
      <c r="F10" s="296"/>
      <c r="G10" s="296"/>
      <c r="H10" s="296"/>
      <c r="I10" s="296"/>
      <c r="J10" s="296"/>
      <c r="K10" s="296"/>
    </row>
    <row r="11" spans="1:11" ht="15.75" x14ac:dyDescent="0.25">
      <c r="A11" s="294" t="s">
        <v>450</v>
      </c>
      <c r="B11" s="294"/>
      <c r="C11" s="295">
        <v>807.5</v>
      </c>
      <c r="D11" s="295"/>
      <c r="E11" s="295"/>
      <c r="F11" s="296"/>
      <c r="G11" s="296"/>
      <c r="H11" s="296"/>
      <c r="I11" s="296"/>
      <c r="J11" s="296"/>
      <c r="K11" s="296"/>
    </row>
    <row r="12" spans="1:11" ht="15.75" x14ac:dyDescent="0.25">
      <c r="A12" s="298"/>
      <c r="B12" s="298"/>
      <c r="C12" s="299"/>
      <c r="D12" s="299"/>
      <c r="E12" s="299"/>
      <c r="F12" s="300"/>
      <c r="G12" s="300"/>
      <c r="H12" s="300"/>
      <c r="I12" s="300"/>
      <c r="J12" s="300"/>
      <c r="K12" s="300"/>
    </row>
    <row r="13" spans="1:11" ht="15.75" x14ac:dyDescent="0.25">
      <c r="A13" s="90" t="s">
        <v>237</v>
      </c>
      <c r="B13" s="90"/>
      <c r="C13" s="91"/>
      <c r="D13" s="91"/>
      <c r="E13" s="328" t="s">
        <v>468</v>
      </c>
      <c r="F13" s="91"/>
      <c r="G13" s="91"/>
      <c r="H13" s="91"/>
      <c r="I13" s="91"/>
      <c r="J13" s="91"/>
      <c r="K13" s="22"/>
    </row>
    <row r="14" spans="1:11" ht="14.25" x14ac:dyDescent="0.2">
      <c r="A14" s="92" t="s">
        <v>469</v>
      </c>
      <c r="B14" s="92"/>
      <c r="C14" s="91"/>
      <c r="D14" s="91"/>
      <c r="E14" s="91"/>
      <c r="F14" s="91"/>
      <c r="G14" s="91"/>
      <c r="H14" s="91"/>
      <c r="I14" s="91"/>
      <c r="J14" s="91"/>
      <c r="K14" s="22"/>
    </row>
    <row r="15" spans="1:11" ht="14.25" x14ac:dyDescent="0.2">
      <c r="A15" s="7"/>
      <c r="B15" s="7"/>
      <c r="C15" s="8"/>
      <c r="D15" s="8"/>
      <c r="E15" s="8"/>
      <c r="F15" s="22"/>
      <c r="G15" s="22"/>
      <c r="H15" s="22"/>
      <c r="I15" s="22"/>
      <c r="J15" s="22"/>
      <c r="K15" s="22"/>
    </row>
  </sheetData>
  <mergeCells count="10">
    <mergeCell ref="A5:A6"/>
    <mergeCell ref="B5:B6"/>
    <mergeCell ref="C5:J5"/>
    <mergeCell ref="K5:K6"/>
    <mergeCell ref="A1:G1"/>
    <mergeCell ref="H1:J1"/>
    <mergeCell ref="A2:J2"/>
    <mergeCell ref="A3:H3"/>
    <mergeCell ref="I3:J3"/>
    <mergeCell ref="A4:K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фінплан</vt:lpstr>
      <vt:lpstr>таблиця 1</vt:lpstr>
      <vt:lpstr>таблиця 2</vt:lpstr>
      <vt:lpstr>таблиця 3</vt:lpstr>
      <vt:lpstr>Таблиця 4</vt:lpstr>
      <vt:lpstr>Таблиця 5</vt:lpstr>
      <vt:lpstr>Таблиця 5.1</vt:lpstr>
      <vt:lpstr>Таблиця 6</vt:lpstr>
      <vt:lpstr>Таблиця 7</vt:lpstr>
      <vt:lpstr>'Таблиця 5'!Заголовки_для_печати</vt:lpstr>
      <vt:lpstr>фінплан!Заголовки_для_печати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2021-12-31T10:43:34Z</cp:lastPrinted>
  <dcterms:created xsi:type="dcterms:W3CDTF">2003-03-13T16:00:22Z</dcterms:created>
  <dcterms:modified xsi:type="dcterms:W3CDTF">2021-12-31T10:44:46Z</dcterms:modified>
</cp:coreProperties>
</file>